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FT Technical\1 My Tech Papers\2024 ASME PVP\Examples\"/>
    </mc:Choice>
  </mc:AlternateContent>
  <xr:revisionPtr revIDLastSave="0" documentId="13_ncr:1_{B6C508D3-1059-4DA8-8BE0-95AE0F28651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Example 7.3 - Pipe P2" sheetId="1" r:id="rId1"/>
    <sheet name="Graph Data" sheetId="2" r:id="rId2"/>
  </sheets>
  <definedNames>
    <definedName name="A">'Example 7.3 - Pipe P2'!$C$23</definedName>
    <definedName name="c_1">'Example 7.3 - Pipe P2'!$C$77</definedName>
    <definedName name="c_2">'Example 7.3 - Pipe P2'!$C$135</definedName>
    <definedName name="cp">'Example 7.3 - Pipe P2'!$C$11</definedName>
    <definedName name="D">'Example 7.3 - Pipe P2'!$C$19</definedName>
    <definedName name="f">'Example 7.3 - Pipe P2'!$C$25</definedName>
    <definedName name="Gam">'Example 7.3 - Pipe P2'!$C$5</definedName>
    <definedName name="gc">'Example 7.3 - Pipe P2'!$C$6</definedName>
    <definedName name="h_1">'Example 7.3 - Pipe P2'!$C$93</definedName>
    <definedName name="h_2">'Example 7.3 - Pipe P2'!$C$133</definedName>
    <definedName name="ho_1">'Example 7.3 - Pipe P2'!$C$95</definedName>
    <definedName name="ho_2">'Example 7.3 - Pipe P2'!$C$106</definedName>
    <definedName name="L">'Example 7.3 - Pipe P2'!$C$15</definedName>
    <definedName name="M_1">'Example 7.3 - Pipe P2'!$C$52</definedName>
    <definedName name="M_2">'Example 7.3 - Pipe P2'!$C$45</definedName>
    <definedName name="M1x">'Example 7.3 - Pipe P2'!#REF!</definedName>
    <definedName name="M2x">'Example 7.3 - Pipe P2'!#REF!</definedName>
    <definedName name="mdot">'Example 7.3 - Pipe P2'!$C$37</definedName>
    <definedName name="P_1">'Example 7.3 - Pipe P2'!$C$83</definedName>
    <definedName name="P_2">'Example 7.3 - Pipe P2'!$C$122</definedName>
    <definedName name="Po_1">'Example 7.3 - Pipe P2'!$C$88</definedName>
    <definedName name="Po_2">'Example 7.3 - Pipe P2'!$C$114</definedName>
    <definedName name="Rg">'Example 7.3 - Pipe P2'!$C$3</definedName>
    <definedName name="rho_1">'Example 7.3 - Pipe P2'!$C$81</definedName>
    <definedName name="rho_2">'Example 7.3 - Pipe P2'!$C$128</definedName>
    <definedName name="solver_adj" localSheetId="0" hidden="1">'Example 7.3 - Pipe P2'!$C$52:$C$52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'Example 7.3 - Pipe P2'!$C$52</definedName>
    <definedName name="solver_lhs2" localSheetId="0" hidden="1">'Example 7.3 - Pipe P2'!$C$52</definedName>
    <definedName name="solver_lhs3" localSheetId="0" hidden="1">'Example 7.3 - Pipe P2'!$C$45</definedName>
    <definedName name="solver_lhs4" localSheetId="0" hidden="1">'Example 7.3 - Pipe P2'!$C$45</definedName>
    <definedName name="solver_lhs5" localSheetId="0" hidden="1">'Example 7.3 - Pipe P2'!$C$45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'Example 7.3 - Pipe P2'!#REF!</definedName>
    <definedName name="solver_pre" localSheetId="0" hidden="1">0.000001</definedName>
    <definedName name="solver_rbv" localSheetId="0" hidden="1">2</definedName>
    <definedName name="solver_rel1" localSheetId="0" hidden="1">1</definedName>
    <definedName name="solver_rel2" localSheetId="0" hidden="1">3</definedName>
    <definedName name="solver_rel3" localSheetId="0" hidden="1">1</definedName>
    <definedName name="solver_rel4" localSheetId="0" hidden="1">1</definedName>
    <definedName name="solver_rel5" localSheetId="0" hidden="1">3</definedName>
    <definedName name="solver_rhs1" localSheetId="0" hidden="1">M_2</definedName>
    <definedName name="solver_rhs2" localSheetId="0" hidden="1">0</definedName>
    <definedName name="solver_rhs3" localSheetId="0" hidden="1">1</definedName>
    <definedName name="solver_rhs4" localSheetId="0" hidden="1">1</definedName>
    <definedName name="solver_rhs5" localSheetId="0" hidden="1">M_1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  <definedName name="T_1">'Example 7.3 - Pipe P2'!$C$73</definedName>
    <definedName name="T_2">'Example 7.3 - Pipe P2'!$C$124</definedName>
    <definedName name="To_1">'Example 7.3 - Pipe P2'!$C$41</definedName>
    <definedName name="To_2">'Example 7.3 - Pipe P2'!$C$110</definedName>
    <definedName name="V_1">'Example 7.3 - Pipe P2'!$C$79</definedName>
    <definedName name="V_2">'Example 7.3 - Pipe P2'!$C$130</definedName>
    <definedName name="Z">'Example 7.3 - Pipe P2'!$C$42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2" l="1"/>
  <c r="D3" i="2"/>
  <c r="E3" i="2" s="1"/>
  <c r="Y3" i="2"/>
  <c r="E60" i="2"/>
  <c r="Z60" i="2"/>
  <c r="B115" i="1"/>
  <c r="D4" i="2" l="1"/>
  <c r="Z3" i="2"/>
  <c r="C58" i="1"/>
  <c r="Z4" i="2" l="1"/>
  <c r="D5" i="2"/>
  <c r="E4" i="2"/>
  <c r="B136" i="1"/>
  <c r="B134" i="1"/>
  <c r="B131" i="1"/>
  <c r="B129" i="1"/>
  <c r="B112" i="1"/>
  <c r="B89" i="1"/>
  <c r="B126" i="1"/>
  <c r="B123" i="1"/>
  <c r="B107" i="1"/>
  <c r="B96" i="1"/>
  <c r="B94" i="1"/>
  <c r="B78" i="1"/>
  <c r="B80" i="1"/>
  <c r="B82" i="1"/>
  <c r="B75" i="1"/>
  <c r="B84" i="1"/>
  <c r="E5" i="2" l="1"/>
  <c r="Z5" i="2"/>
  <c r="D6" i="2"/>
  <c r="C40" i="1"/>
  <c r="C18" i="1"/>
  <c r="C22" i="1" s="1"/>
  <c r="C21" i="1"/>
  <c r="C23" i="1" s="1"/>
  <c r="C19" i="1"/>
  <c r="C16" i="1"/>
  <c r="C12" i="1"/>
  <c r="C4" i="1"/>
  <c r="C41" i="1"/>
  <c r="Z6" i="2" l="1"/>
  <c r="E6" i="2"/>
  <c r="D7" i="2"/>
  <c r="B60" i="2"/>
  <c r="B5" i="2"/>
  <c r="B4" i="2"/>
  <c r="B6" i="2"/>
  <c r="B7" i="2"/>
  <c r="C110" i="1"/>
  <c r="C114" i="1" s="1"/>
  <c r="N3" i="2"/>
  <c r="C38" i="1"/>
  <c r="C73" i="1"/>
  <c r="C20" i="1"/>
  <c r="C24" i="1" s="1"/>
  <c r="C56" i="1"/>
  <c r="C60" i="1" s="1"/>
  <c r="Z7" i="2" l="1"/>
  <c r="D8" i="2"/>
  <c r="E7" i="2"/>
  <c r="Y7" i="2"/>
  <c r="C7" i="2"/>
  <c r="Y6" i="2"/>
  <c r="C6" i="2"/>
  <c r="Y4" i="2"/>
  <c r="C4" i="2"/>
  <c r="Y5" i="2"/>
  <c r="C5" i="2"/>
  <c r="O3" i="2"/>
  <c r="P3" i="2"/>
  <c r="N4" i="2"/>
  <c r="C77" i="1"/>
  <c r="C79" i="1" s="1"/>
  <c r="C81" i="1" s="1"/>
  <c r="J3" i="2"/>
  <c r="Y60" i="2"/>
  <c r="C60" i="2"/>
  <c r="C74" i="1"/>
  <c r="C75" i="1" s="1"/>
  <c r="C93" i="1"/>
  <c r="C94" i="1" s="1"/>
  <c r="C124" i="1"/>
  <c r="D9" i="2" l="1"/>
  <c r="B8" i="2"/>
  <c r="Z8" i="2"/>
  <c r="E8" i="2"/>
  <c r="Q3" i="2"/>
  <c r="O4" i="2"/>
  <c r="AC3" i="2"/>
  <c r="K3" i="2"/>
  <c r="M3" i="2" s="1"/>
  <c r="L3" i="2"/>
  <c r="J4" i="2"/>
  <c r="P4" i="2"/>
  <c r="N5" i="2"/>
  <c r="H4" i="2"/>
  <c r="C83" i="1"/>
  <c r="R3" i="2"/>
  <c r="C82" i="1"/>
  <c r="C111" i="1"/>
  <c r="C112" i="1" s="1"/>
  <c r="C125" i="1"/>
  <c r="C126" i="1" s="1"/>
  <c r="C8" i="2" l="1"/>
  <c r="Y8" i="2"/>
  <c r="D10" i="2"/>
  <c r="E9" i="2"/>
  <c r="Z9" i="2"/>
  <c r="B9" i="2"/>
  <c r="K4" i="2"/>
  <c r="M4" i="2" s="1"/>
  <c r="L4" i="2"/>
  <c r="AC4" i="2"/>
  <c r="AD3" i="2"/>
  <c r="S3" i="2"/>
  <c r="C84" i="1"/>
  <c r="F3" i="2"/>
  <c r="C88" i="1"/>
  <c r="H3" i="2" s="1"/>
  <c r="C122" i="1"/>
  <c r="Q4" i="2"/>
  <c r="O5" i="2"/>
  <c r="AB4" i="2"/>
  <c r="F4" i="2"/>
  <c r="I4" i="2"/>
  <c r="N6" i="2"/>
  <c r="H5" i="2"/>
  <c r="J5" i="2"/>
  <c r="P5" i="2"/>
  <c r="C78" i="1"/>
  <c r="C9" i="2" l="1"/>
  <c r="Y9" i="2"/>
  <c r="E10" i="2"/>
  <c r="Z10" i="2"/>
  <c r="B10" i="2"/>
  <c r="D11" i="2"/>
  <c r="K5" i="2"/>
  <c r="M5" i="2" s="1"/>
  <c r="L5" i="2"/>
  <c r="AC5" i="2"/>
  <c r="Q5" i="2"/>
  <c r="O6" i="2"/>
  <c r="P6" i="2"/>
  <c r="N7" i="2"/>
  <c r="H6" i="2"/>
  <c r="J6" i="2"/>
  <c r="F5" i="2"/>
  <c r="I5" i="2"/>
  <c r="AB5" i="2"/>
  <c r="AB3" i="2"/>
  <c r="I3" i="2"/>
  <c r="G3" i="2"/>
  <c r="T3" i="2"/>
  <c r="AA3" i="2"/>
  <c r="C123" i="1"/>
  <c r="C128" i="1"/>
  <c r="AA4" i="2"/>
  <c r="R4" i="2"/>
  <c r="G4" i="2"/>
  <c r="T4" i="2"/>
  <c r="C95" i="1"/>
  <c r="C96" i="1" s="1"/>
  <c r="C80" i="1"/>
  <c r="Y10" i="2" l="1"/>
  <c r="C10" i="2"/>
  <c r="E11" i="2"/>
  <c r="Z11" i="2"/>
  <c r="B11" i="2"/>
  <c r="D12" i="2"/>
  <c r="L6" i="2"/>
  <c r="AC6" i="2"/>
  <c r="K6" i="2"/>
  <c r="M6" i="2" s="1"/>
  <c r="U4" i="2"/>
  <c r="V4" i="2"/>
  <c r="N8" i="2"/>
  <c r="H7" i="2"/>
  <c r="J7" i="2"/>
  <c r="P7" i="2"/>
  <c r="U3" i="2"/>
  <c r="V3" i="2"/>
  <c r="Q6" i="2"/>
  <c r="O7" i="2"/>
  <c r="C129" i="1"/>
  <c r="C130" i="1"/>
  <c r="R5" i="2"/>
  <c r="G5" i="2"/>
  <c r="AA5" i="2"/>
  <c r="AB6" i="2"/>
  <c r="F6" i="2"/>
  <c r="I6" i="2"/>
  <c r="AD4" i="2"/>
  <c r="S4" i="2"/>
  <c r="C106" i="1"/>
  <c r="Y11" i="2" l="1"/>
  <c r="C11" i="2"/>
  <c r="B12" i="2"/>
  <c r="D13" i="2"/>
  <c r="Z12" i="2"/>
  <c r="E12" i="2"/>
  <c r="C135" i="1"/>
  <c r="C136" i="1" s="1"/>
  <c r="C131" i="1"/>
  <c r="O8" i="2"/>
  <c r="Q7" i="2"/>
  <c r="K7" i="2"/>
  <c r="M7" i="2" s="1"/>
  <c r="L7" i="2"/>
  <c r="AC7" i="2"/>
  <c r="P8" i="2"/>
  <c r="N9" i="2"/>
  <c r="H8" i="2"/>
  <c r="J8" i="2"/>
  <c r="AA6" i="2"/>
  <c r="R6" i="2"/>
  <c r="T6" i="2" s="1"/>
  <c r="G6" i="2"/>
  <c r="AD5" i="2"/>
  <c r="S5" i="2"/>
  <c r="I7" i="2"/>
  <c r="AB7" i="2"/>
  <c r="F7" i="2"/>
  <c r="AE3" i="2"/>
  <c r="W3" i="2"/>
  <c r="C133" i="1"/>
  <c r="C134" i="1" s="1"/>
  <c r="W4" i="2"/>
  <c r="AE4" i="2"/>
  <c r="T5" i="2"/>
  <c r="C107" i="1"/>
  <c r="E13" i="2" l="1"/>
  <c r="Z13" i="2"/>
  <c r="B13" i="2"/>
  <c r="D14" i="2"/>
  <c r="Y12" i="2"/>
  <c r="C12" i="2"/>
  <c r="U6" i="2"/>
  <c r="V6" i="2"/>
  <c r="Q8" i="2"/>
  <c r="O9" i="2"/>
  <c r="AC8" i="2"/>
  <c r="K8" i="2"/>
  <c r="M8" i="2" s="1"/>
  <c r="L8" i="2"/>
  <c r="AB8" i="2"/>
  <c r="F8" i="2"/>
  <c r="I8" i="2"/>
  <c r="J9" i="2"/>
  <c r="P9" i="2"/>
  <c r="N10" i="2"/>
  <c r="H9" i="2"/>
  <c r="U5" i="2"/>
  <c r="V5" i="2"/>
  <c r="G7" i="2"/>
  <c r="AA7" i="2"/>
  <c r="R7" i="2"/>
  <c r="AD6" i="2"/>
  <c r="S6" i="2"/>
  <c r="C89" i="1"/>
  <c r="C115" i="1"/>
  <c r="C13" i="2" l="1"/>
  <c r="Y13" i="2"/>
  <c r="E14" i="2"/>
  <c r="Z14" i="2"/>
  <c r="D15" i="2"/>
  <c r="B14" i="2"/>
  <c r="AA8" i="2"/>
  <c r="R8" i="2"/>
  <c r="G8" i="2"/>
  <c r="T8" i="2"/>
  <c r="AE5" i="2"/>
  <c r="W5" i="2"/>
  <c r="I9" i="2"/>
  <c r="AB9" i="2"/>
  <c r="F9" i="2"/>
  <c r="AE6" i="2"/>
  <c r="W6" i="2"/>
  <c r="Q9" i="2"/>
  <c r="O10" i="2"/>
  <c r="S7" i="2"/>
  <c r="AD7" i="2"/>
  <c r="P10" i="2"/>
  <c r="N11" i="2"/>
  <c r="H10" i="2"/>
  <c r="J10" i="2"/>
  <c r="T7" i="2"/>
  <c r="K9" i="2"/>
  <c r="M9" i="2" s="1"/>
  <c r="L9" i="2"/>
  <c r="AC9" i="2"/>
  <c r="C14" i="2" l="1"/>
  <c r="Y14" i="2"/>
  <c r="E15" i="2"/>
  <c r="D16" i="2"/>
  <c r="Z15" i="2"/>
  <c r="B15" i="2"/>
  <c r="P11" i="2"/>
  <c r="N12" i="2"/>
  <c r="H11" i="2"/>
  <c r="J11" i="2"/>
  <c r="AA9" i="2"/>
  <c r="R9" i="2"/>
  <c r="G9" i="2"/>
  <c r="U7" i="2"/>
  <c r="V7" i="2"/>
  <c r="AD8" i="2"/>
  <c r="S8" i="2"/>
  <c r="Q10" i="2"/>
  <c r="O11" i="2"/>
  <c r="U8" i="2"/>
  <c r="V8" i="2"/>
  <c r="AC10" i="2"/>
  <c r="K10" i="2"/>
  <c r="M10" i="2" s="1"/>
  <c r="L10" i="2"/>
  <c r="F10" i="2"/>
  <c r="I10" i="2"/>
  <c r="AB10" i="2"/>
  <c r="E16" i="2" l="1"/>
  <c r="Z16" i="2"/>
  <c r="B16" i="2"/>
  <c r="D17" i="2"/>
  <c r="C15" i="2"/>
  <c r="Y15" i="2"/>
  <c r="AE8" i="2"/>
  <c r="W8" i="2"/>
  <c r="AD9" i="2"/>
  <c r="S9" i="2"/>
  <c r="W7" i="2"/>
  <c r="AE7" i="2"/>
  <c r="T9" i="2"/>
  <c r="K11" i="2"/>
  <c r="M11" i="2" s="1"/>
  <c r="L11" i="2"/>
  <c r="AC11" i="2"/>
  <c r="Q11" i="2"/>
  <c r="O12" i="2"/>
  <c r="R10" i="2"/>
  <c r="G10" i="2"/>
  <c r="AA10" i="2"/>
  <c r="AB11" i="2"/>
  <c r="F11" i="2"/>
  <c r="I11" i="2"/>
  <c r="N13" i="2"/>
  <c r="H12" i="2"/>
  <c r="J12" i="2"/>
  <c r="P12" i="2"/>
  <c r="Y16" i="2" l="1"/>
  <c r="C16" i="2"/>
  <c r="B17" i="2"/>
  <c r="D18" i="2"/>
  <c r="Z17" i="2"/>
  <c r="E17" i="2"/>
  <c r="AD10" i="2"/>
  <c r="S10" i="2"/>
  <c r="T10" i="2"/>
  <c r="P13" i="2"/>
  <c r="N14" i="2"/>
  <c r="H13" i="2"/>
  <c r="J13" i="2"/>
  <c r="U9" i="2"/>
  <c r="V9" i="2"/>
  <c r="F12" i="2"/>
  <c r="I12" i="2"/>
  <c r="AB12" i="2"/>
  <c r="O13" i="2"/>
  <c r="Q12" i="2"/>
  <c r="K12" i="2"/>
  <c r="M12" i="2" s="1"/>
  <c r="L12" i="2"/>
  <c r="AC12" i="2"/>
  <c r="AA11" i="2"/>
  <c r="R11" i="2"/>
  <c r="G11" i="2"/>
  <c r="T11" i="2"/>
  <c r="B18" i="2" l="1"/>
  <c r="E18" i="2"/>
  <c r="Z18" i="2"/>
  <c r="D19" i="2"/>
  <c r="Y17" i="2"/>
  <c r="C17" i="2"/>
  <c r="AC13" i="2"/>
  <c r="K13" i="2"/>
  <c r="M13" i="2" s="1"/>
  <c r="L13" i="2"/>
  <c r="H14" i="2"/>
  <c r="J14" i="2"/>
  <c r="P14" i="2"/>
  <c r="N15" i="2"/>
  <c r="Q13" i="2"/>
  <c r="O14" i="2"/>
  <c r="U10" i="2"/>
  <c r="V10" i="2"/>
  <c r="AD11" i="2"/>
  <c r="S11" i="2"/>
  <c r="AB13" i="2"/>
  <c r="F13" i="2"/>
  <c r="I13" i="2"/>
  <c r="U11" i="2"/>
  <c r="V11" i="2"/>
  <c r="R12" i="2"/>
  <c r="T12" i="2" s="1"/>
  <c r="G12" i="2"/>
  <c r="AA12" i="2"/>
  <c r="W9" i="2"/>
  <c r="AE9" i="2"/>
  <c r="D20" i="2" l="1"/>
  <c r="Z19" i="2"/>
  <c r="E19" i="2"/>
  <c r="B19" i="2"/>
  <c r="C18" i="2"/>
  <c r="Y18" i="2"/>
  <c r="U12" i="2"/>
  <c r="V12" i="2"/>
  <c r="O15" i="2"/>
  <c r="Q14" i="2"/>
  <c r="W11" i="2"/>
  <c r="AE11" i="2"/>
  <c r="P15" i="2"/>
  <c r="N16" i="2"/>
  <c r="H15" i="2"/>
  <c r="J15" i="2"/>
  <c r="K14" i="2"/>
  <c r="M14" i="2" s="1"/>
  <c r="L14" i="2"/>
  <c r="AC14" i="2"/>
  <c r="S12" i="2"/>
  <c r="AD12" i="2"/>
  <c r="AA13" i="2"/>
  <c r="R13" i="2"/>
  <c r="G13" i="2"/>
  <c r="I14" i="2"/>
  <c r="AB14" i="2"/>
  <c r="F14" i="2"/>
  <c r="AE10" i="2"/>
  <c r="W10" i="2"/>
  <c r="Y19" i="2" l="1"/>
  <c r="C19" i="2"/>
  <c r="E20" i="2"/>
  <c r="B20" i="2"/>
  <c r="D21" i="2"/>
  <c r="Z20" i="2"/>
  <c r="AD13" i="2"/>
  <c r="S13" i="2"/>
  <c r="AB15" i="2"/>
  <c r="F15" i="2"/>
  <c r="I15" i="2"/>
  <c r="J16" i="2"/>
  <c r="P16" i="2"/>
  <c r="N17" i="2"/>
  <c r="H16" i="2"/>
  <c r="T13" i="2"/>
  <c r="AE12" i="2"/>
  <c r="W12" i="2"/>
  <c r="AC15" i="2"/>
  <c r="K15" i="2"/>
  <c r="M15" i="2" s="1"/>
  <c r="L15" i="2"/>
  <c r="AA14" i="2"/>
  <c r="R14" i="2"/>
  <c r="G14" i="2"/>
  <c r="Q15" i="2"/>
  <c r="O16" i="2"/>
  <c r="Z21" i="2" l="1"/>
  <c r="B21" i="2"/>
  <c r="D22" i="2"/>
  <c r="E21" i="2"/>
  <c r="Y20" i="2"/>
  <c r="C20" i="2"/>
  <c r="U13" i="2"/>
  <c r="V13" i="2"/>
  <c r="AD14" i="2"/>
  <c r="S14" i="2"/>
  <c r="N18" i="2"/>
  <c r="H17" i="2"/>
  <c r="J17" i="2"/>
  <c r="P17" i="2"/>
  <c r="T14" i="2"/>
  <c r="AB16" i="2"/>
  <c r="F16" i="2"/>
  <c r="I16" i="2"/>
  <c r="K16" i="2"/>
  <c r="M16" i="2" s="1"/>
  <c r="L16" i="2"/>
  <c r="AC16" i="2"/>
  <c r="R15" i="2"/>
  <c r="G15" i="2"/>
  <c r="AA15" i="2"/>
  <c r="Q16" i="2"/>
  <c r="O17" i="2"/>
  <c r="D23" i="2" l="1"/>
  <c r="Z22" i="2"/>
  <c r="B22" i="2"/>
  <c r="E22" i="2"/>
  <c r="Y21" i="2"/>
  <c r="C21" i="2"/>
  <c r="AA16" i="2"/>
  <c r="R16" i="2"/>
  <c r="G16" i="2"/>
  <c r="T16" i="2"/>
  <c r="Q17" i="2"/>
  <c r="O18" i="2"/>
  <c r="AD15" i="2"/>
  <c r="S15" i="2"/>
  <c r="K17" i="2"/>
  <c r="M17" i="2" s="1"/>
  <c r="L17" i="2"/>
  <c r="AC17" i="2"/>
  <c r="T15" i="2"/>
  <c r="P18" i="2"/>
  <c r="N19" i="2"/>
  <c r="H18" i="2"/>
  <c r="J18" i="2"/>
  <c r="AE13" i="2"/>
  <c r="W13" i="2"/>
  <c r="U14" i="2"/>
  <c r="V14" i="2"/>
  <c r="F17" i="2"/>
  <c r="I17" i="2"/>
  <c r="AB17" i="2"/>
  <c r="Y22" i="2" l="1"/>
  <c r="C22" i="2"/>
  <c r="E23" i="2"/>
  <c r="Z23" i="2"/>
  <c r="B23" i="2"/>
  <c r="D24" i="2"/>
  <c r="AB18" i="2"/>
  <c r="F18" i="2"/>
  <c r="I18" i="2"/>
  <c r="U15" i="2"/>
  <c r="V15" i="2"/>
  <c r="L18" i="2"/>
  <c r="AC18" i="2"/>
  <c r="K18" i="2"/>
  <c r="M18" i="2" s="1"/>
  <c r="N20" i="2"/>
  <c r="H19" i="2"/>
  <c r="J19" i="2"/>
  <c r="P19" i="2"/>
  <c r="R17" i="2"/>
  <c r="G17" i="2"/>
  <c r="T17" i="2"/>
  <c r="AA17" i="2"/>
  <c r="AD16" i="2"/>
  <c r="S16" i="2"/>
  <c r="Q18" i="2"/>
  <c r="O19" i="2"/>
  <c r="U16" i="2"/>
  <c r="V16" i="2"/>
  <c r="W14" i="2"/>
  <c r="AE14" i="2"/>
  <c r="B24" i="2" l="1"/>
  <c r="D25" i="2"/>
  <c r="Z24" i="2"/>
  <c r="E24" i="2"/>
  <c r="Y23" i="2"/>
  <c r="C23" i="2"/>
  <c r="P20" i="2"/>
  <c r="N21" i="2"/>
  <c r="H20" i="2"/>
  <c r="J20" i="2"/>
  <c r="I19" i="2"/>
  <c r="AB19" i="2"/>
  <c r="F19" i="2"/>
  <c r="U17" i="2"/>
  <c r="V17" i="2"/>
  <c r="K19" i="2"/>
  <c r="M19" i="2" s="1"/>
  <c r="L19" i="2"/>
  <c r="AC19" i="2"/>
  <c r="AA18" i="2"/>
  <c r="R18" i="2"/>
  <c r="T18" i="2" s="1"/>
  <c r="G18" i="2"/>
  <c r="W16" i="2"/>
  <c r="AE16" i="2"/>
  <c r="AE15" i="2"/>
  <c r="W15" i="2"/>
  <c r="O20" i="2"/>
  <c r="Q19" i="2"/>
  <c r="AD17" i="2"/>
  <c r="S17" i="2"/>
  <c r="Z25" i="2" l="1"/>
  <c r="B25" i="2"/>
  <c r="D26" i="2"/>
  <c r="E25" i="2"/>
  <c r="Y24" i="2"/>
  <c r="C24" i="2"/>
  <c r="G19" i="2"/>
  <c r="AA19" i="2"/>
  <c r="R19" i="2"/>
  <c r="Q20" i="2"/>
  <c r="O21" i="2"/>
  <c r="J21" i="2"/>
  <c r="P21" i="2"/>
  <c r="N22" i="2"/>
  <c r="H21" i="2"/>
  <c r="U18" i="2"/>
  <c r="V18" i="2"/>
  <c r="AD18" i="2"/>
  <c r="S18" i="2"/>
  <c r="AC20" i="2"/>
  <c r="K20" i="2"/>
  <c r="M20" i="2" s="1"/>
  <c r="L20" i="2"/>
  <c r="AB20" i="2"/>
  <c r="F20" i="2"/>
  <c r="I20" i="2"/>
  <c r="AE17" i="2"/>
  <c r="W17" i="2"/>
  <c r="B26" i="2" l="1"/>
  <c r="Z26" i="2"/>
  <c r="E26" i="2"/>
  <c r="D27" i="2"/>
  <c r="C25" i="2"/>
  <c r="Y25" i="2"/>
  <c r="I21" i="2"/>
  <c r="AB21" i="2"/>
  <c r="F21" i="2"/>
  <c r="S19" i="2"/>
  <c r="AD19" i="2"/>
  <c r="K21" i="2"/>
  <c r="M21" i="2" s="1"/>
  <c r="L21" i="2"/>
  <c r="AC21" i="2"/>
  <c r="AE18" i="2"/>
  <c r="W18" i="2"/>
  <c r="P22" i="2"/>
  <c r="N23" i="2"/>
  <c r="H22" i="2"/>
  <c r="J22" i="2"/>
  <c r="AA20" i="2"/>
  <c r="R20" i="2"/>
  <c r="G20" i="2"/>
  <c r="T19" i="2"/>
  <c r="Q21" i="2"/>
  <c r="O22" i="2"/>
  <c r="D28" i="2" l="1"/>
  <c r="E27" i="2"/>
  <c r="B27" i="2"/>
  <c r="Z27" i="2"/>
  <c r="C26" i="2"/>
  <c r="Y26" i="2"/>
  <c r="AD20" i="2"/>
  <c r="S20" i="2"/>
  <c r="F22" i="2"/>
  <c r="I22" i="2"/>
  <c r="AB22" i="2"/>
  <c r="AC22" i="2"/>
  <c r="K22" i="2"/>
  <c r="M22" i="2" s="1"/>
  <c r="L22" i="2"/>
  <c r="P23" i="2"/>
  <c r="N24" i="2"/>
  <c r="H23" i="2"/>
  <c r="J23" i="2"/>
  <c r="AA21" i="2"/>
  <c r="R21" i="2"/>
  <c r="G21" i="2"/>
  <c r="Q22" i="2"/>
  <c r="O23" i="2"/>
  <c r="U19" i="2"/>
  <c r="V19" i="2"/>
  <c r="T20" i="2"/>
  <c r="Y27" i="2" l="1"/>
  <c r="C27" i="2"/>
  <c r="E28" i="2"/>
  <c r="B28" i="2"/>
  <c r="Z28" i="2"/>
  <c r="D29" i="2"/>
  <c r="AD21" i="2"/>
  <c r="S21" i="2"/>
  <c r="Q23" i="2"/>
  <c r="O24" i="2"/>
  <c r="U20" i="2"/>
  <c r="V20" i="2"/>
  <c r="T21" i="2"/>
  <c r="AB23" i="2"/>
  <c r="F23" i="2"/>
  <c r="I23" i="2"/>
  <c r="W19" i="2"/>
  <c r="AE19" i="2"/>
  <c r="N25" i="2"/>
  <c r="H24" i="2"/>
  <c r="J24" i="2"/>
  <c r="P24" i="2"/>
  <c r="K23" i="2"/>
  <c r="M23" i="2" s="1"/>
  <c r="L23" i="2"/>
  <c r="AC23" i="2"/>
  <c r="R22" i="2"/>
  <c r="G22" i="2"/>
  <c r="T22" i="2"/>
  <c r="AA22" i="2"/>
  <c r="D30" i="2" l="1"/>
  <c r="Z29" i="2"/>
  <c r="E29" i="2"/>
  <c r="B29" i="2"/>
  <c r="Y28" i="2"/>
  <c r="C28" i="2"/>
  <c r="AE20" i="2"/>
  <c r="W20" i="2"/>
  <c r="F24" i="2"/>
  <c r="I24" i="2"/>
  <c r="AB24" i="2"/>
  <c r="P25" i="2"/>
  <c r="N26" i="2"/>
  <c r="H25" i="2"/>
  <c r="J25" i="2"/>
  <c r="K24" i="2"/>
  <c r="M24" i="2" s="1"/>
  <c r="L24" i="2"/>
  <c r="AC24" i="2"/>
  <c r="U22" i="2"/>
  <c r="V22" i="2"/>
  <c r="AA23" i="2"/>
  <c r="R23" i="2"/>
  <c r="G23" i="2"/>
  <c r="T23" i="2"/>
  <c r="O25" i="2"/>
  <c r="Q24" i="2"/>
  <c r="U21" i="2"/>
  <c r="V21" i="2"/>
  <c r="AD22" i="2"/>
  <c r="S22" i="2"/>
  <c r="Y29" i="2" l="1"/>
  <c r="C29" i="2"/>
  <c r="E30" i="2"/>
  <c r="D31" i="2"/>
  <c r="Z30" i="2"/>
  <c r="B30" i="2"/>
  <c r="AB25" i="2"/>
  <c r="F25" i="2"/>
  <c r="I25" i="2"/>
  <c r="AD23" i="2"/>
  <c r="S23" i="2"/>
  <c r="H26" i="2"/>
  <c r="J26" i="2"/>
  <c r="P26" i="2"/>
  <c r="N27" i="2"/>
  <c r="U23" i="2"/>
  <c r="V23" i="2"/>
  <c r="AC25" i="2"/>
  <c r="K25" i="2"/>
  <c r="M25" i="2" s="1"/>
  <c r="L25" i="2"/>
  <c r="AE22" i="2"/>
  <c r="W22" i="2"/>
  <c r="W21" i="2"/>
  <c r="AE21" i="2"/>
  <c r="Q25" i="2"/>
  <c r="O26" i="2"/>
  <c r="R24" i="2"/>
  <c r="G24" i="2"/>
  <c r="AA24" i="2"/>
  <c r="D32" i="2" l="1"/>
  <c r="B31" i="2"/>
  <c r="Z31" i="2"/>
  <c r="E31" i="2"/>
  <c r="Y30" i="2"/>
  <c r="C30" i="2"/>
  <c r="S24" i="2"/>
  <c r="AD24" i="2"/>
  <c r="W23" i="2"/>
  <c r="AE23" i="2"/>
  <c r="O27" i="2"/>
  <c r="Q26" i="2"/>
  <c r="I26" i="2"/>
  <c r="AB26" i="2"/>
  <c r="F26" i="2"/>
  <c r="AA25" i="2"/>
  <c r="R25" i="2"/>
  <c r="T25" i="2" s="1"/>
  <c r="G25" i="2"/>
  <c r="P27" i="2"/>
  <c r="N28" i="2"/>
  <c r="H27" i="2"/>
  <c r="J27" i="2"/>
  <c r="K26" i="2"/>
  <c r="M26" i="2" s="1"/>
  <c r="L26" i="2"/>
  <c r="AC26" i="2"/>
  <c r="T24" i="2"/>
  <c r="Y31" i="2" l="1"/>
  <c r="C31" i="2"/>
  <c r="Z32" i="2"/>
  <c r="D33" i="2"/>
  <c r="E32" i="2"/>
  <c r="B32" i="2"/>
  <c r="AB27" i="2"/>
  <c r="F27" i="2"/>
  <c r="I27" i="2"/>
  <c r="J28" i="2"/>
  <c r="P28" i="2"/>
  <c r="N29" i="2"/>
  <c r="H28" i="2"/>
  <c r="AC27" i="2"/>
  <c r="K27" i="2"/>
  <c r="M27" i="2" s="1"/>
  <c r="L27" i="2"/>
  <c r="U25" i="2"/>
  <c r="V25" i="2"/>
  <c r="Q27" i="2"/>
  <c r="O28" i="2"/>
  <c r="AA26" i="2"/>
  <c r="R26" i="2"/>
  <c r="T26" i="2" s="1"/>
  <c r="G26" i="2"/>
  <c r="AD25" i="2"/>
  <c r="S25" i="2"/>
  <c r="U24" i="2"/>
  <c r="V24" i="2"/>
  <c r="C32" i="2" l="1"/>
  <c r="Y32" i="2"/>
  <c r="D34" i="2"/>
  <c r="B33" i="2"/>
  <c r="E33" i="2"/>
  <c r="Z33" i="2"/>
  <c r="U26" i="2"/>
  <c r="V26" i="2"/>
  <c r="AE25" i="2"/>
  <c r="W25" i="2"/>
  <c r="AB28" i="2"/>
  <c r="F28" i="2"/>
  <c r="I28" i="2"/>
  <c r="N30" i="2"/>
  <c r="H29" i="2"/>
  <c r="J29" i="2"/>
  <c r="P29" i="2"/>
  <c r="AE24" i="2"/>
  <c r="W24" i="2"/>
  <c r="K28" i="2"/>
  <c r="M28" i="2" s="1"/>
  <c r="L28" i="2"/>
  <c r="AC28" i="2"/>
  <c r="Q28" i="2"/>
  <c r="O29" i="2"/>
  <c r="R27" i="2"/>
  <c r="G27" i="2"/>
  <c r="AA27" i="2"/>
  <c r="AD26" i="2"/>
  <c r="S26" i="2"/>
  <c r="Y33" i="2" l="1"/>
  <c r="C33" i="2"/>
  <c r="Z34" i="2"/>
  <c r="B34" i="2"/>
  <c r="E34" i="2"/>
  <c r="D35" i="2"/>
  <c r="AD27" i="2"/>
  <c r="S27" i="2"/>
  <c r="Q29" i="2"/>
  <c r="O30" i="2"/>
  <c r="AA28" i="2"/>
  <c r="R28" i="2"/>
  <c r="T28" i="2" s="1"/>
  <c r="G28" i="2"/>
  <c r="K29" i="2"/>
  <c r="M29" i="2" s="1"/>
  <c r="L29" i="2"/>
  <c r="AC29" i="2"/>
  <c r="T27" i="2"/>
  <c r="W26" i="2"/>
  <c r="AE26" i="2"/>
  <c r="F29" i="2"/>
  <c r="I29" i="2"/>
  <c r="AB29" i="2"/>
  <c r="P30" i="2"/>
  <c r="H30" i="2"/>
  <c r="N31" i="2"/>
  <c r="J30" i="2"/>
  <c r="E35" i="2" l="1"/>
  <c r="D36" i="2"/>
  <c r="B35" i="2"/>
  <c r="Z35" i="2"/>
  <c r="Y34" i="2"/>
  <c r="C34" i="2"/>
  <c r="R29" i="2"/>
  <c r="G29" i="2"/>
  <c r="T29" i="2"/>
  <c r="AA29" i="2"/>
  <c r="U28" i="2"/>
  <c r="V28" i="2"/>
  <c r="N32" i="2"/>
  <c r="H31" i="2"/>
  <c r="J31" i="2"/>
  <c r="P31" i="2"/>
  <c r="AD28" i="2"/>
  <c r="S28" i="2"/>
  <c r="AB30" i="2"/>
  <c r="F30" i="2"/>
  <c r="I30" i="2"/>
  <c r="L30" i="2"/>
  <c r="AC30" i="2"/>
  <c r="K30" i="2"/>
  <c r="M30" i="2" s="1"/>
  <c r="Q30" i="2"/>
  <c r="O31" i="2"/>
  <c r="U27" i="2"/>
  <c r="V27" i="2"/>
  <c r="Y35" i="2" l="1"/>
  <c r="C35" i="2"/>
  <c r="D37" i="2"/>
  <c r="B36" i="2"/>
  <c r="E36" i="2"/>
  <c r="Z36" i="2"/>
  <c r="K31" i="2"/>
  <c r="M31" i="2" s="1"/>
  <c r="L31" i="2"/>
  <c r="AC31" i="2"/>
  <c r="P32" i="2"/>
  <c r="N33" i="2"/>
  <c r="H32" i="2"/>
  <c r="J32" i="2"/>
  <c r="U29" i="2"/>
  <c r="V29" i="2"/>
  <c r="AA30" i="2"/>
  <c r="R30" i="2"/>
  <c r="G30" i="2"/>
  <c r="T30" i="2"/>
  <c r="W28" i="2"/>
  <c r="AE28" i="2"/>
  <c r="O32" i="2"/>
  <c r="Q31" i="2"/>
  <c r="I31" i="2"/>
  <c r="AB31" i="2"/>
  <c r="F31" i="2"/>
  <c r="AE27" i="2"/>
  <c r="W27" i="2"/>
  <c r="AD29" i="2"/>
  <c r="S29" i="2"/>
  <c r="Y36" i="2" l="1"/>
  <c r="C36" i="2"/>
  <c r="B37" i="2"/>
  <c r="D38" i="2"/>
  <c r="Z37" i="2"/>
  <c r="E37" i="2"/>
  <c r="AE29" i="2"/>
  <c r="W29" i="2"/>
  <c r="U30" i="2"/>
  <c r="V30" i="2"/>
  <c r="AC32" i="2"/>
  <c r="K32" i="2"/>
  <c r="M32" i="2" s="1"/>
  <c r="L32" i="2"/>
  <c r="Q32" i="2"/>
  <c r="O33" i="2"/>
  <c r="G31" i="2"/>
  <c r="R31" i="2"/>
  <c r="AA31" i="2"/>
  <c r="AB32" i="2"/>
  <c r="F32" i="2"/>
  <c r="I32" i="2"/>
  <c r="J33" i="2"/>
  <c r="P33" i="2"/>
  <c r="N34" i="2"/>
  <c r="H33" i="2"/>
  <c r="AD30" i="2"/>
  <c r="S30" i="2"/>
  <c r="C37" i="2" l="1"/>
  <c r="Y37" i="2"/>
  <c r="B38" i="2"/>
  <c r="Z38" i="2"/>
  <c r="E38" i="2"/>
  <c r="D39" i="2"/>
  <c r="AE30" i="2"/>
  <c r="W30" i="2"/>
  <c r="K33" i="2"/>
  <c r="M33" i="2" s="1"/>
  <c r="AC33" i="2"/>
  <c r="L33" i="2"/>
  <c r="AA32" i="2"/>
  <c r="R32" i="2"/>
  <c r="G32" i="2"/>
  <c r="T32" i="2"/>
  <c r="S31" i="2"/>
  <c r="AD31" i="2"/>
  <c r="T31" i="2"/>
  <c r="I33" i="2"/>
  <c r="AB33" i="2"/>
  <c r="F33" i="2"/>
  <c r="P34" i="2"/>
  <c r="H34" i="2"/>
  <c r="J34" i="2"/>
  <c r="N35" i="2"/>
  <c r="Q33" i="2"/>
  <c r="O34" i="2"/>
  <c r="D40" i="2" l="1"/>
  <c r="E39" i="2"/>
  <c r="Z39" i="2"/>
  <c r="B39" i="2"/>
  <c r="Y38" i="2"/>
  <c r="C38" i="2"/>
  <c r="AD32" i="2"/>
  <c r="S32" i="2"/>
  <c r="AC34" i="2"/>
  <c r="L34" i="2"/>
  <c r="K34" i="2"/>
  <c r="M34" i="2" s="1"/>
  <c r="AA33" i="2"/>
  <c r="R33" i="2"/>
  <c r="T33" i="2" s="1"/>
  <c r="G33" i="2"/>
  <c r="Q34" i="2"/>
  <c r="O35" i="2"/>
  <c r="P35" i="2"/>
  <c r="N36" i="2"/>
  <c r="H35" i="2"/>
  <c r="J35" i="2"/>
  <c r="U31" i="2"/>
  <c r="V31" i="2"/>
  <c r="U32" i="2"/>
  <c r="V32" i="2"/>
  <c r="F34" i="2"/>
  <c r="I34" i="2"/>
  <c r="AB34" i="2"/>
  <c r="C39" i="2" l="1"/>
  <c r="Y39" i="2"/>
  <c r="Z40" i="2"/>
  <c r="E40" i="2"/>
  <c r="D41" i="2"/>
  <c r="B40" i="2"/>
  <c r="U33" i="2"/>
  <c r="V33" i="2"/>
  <c r="Q35" i="2"/>
  <c r="O36" i="2"/>
  <c r="AE32" i="2"/>
  <c r="W32" i="2"/>
  <c r="K35" i="2"/>
  <c r="M35" i="2" s="1"/>
  <c r="L35" i="2"/>
  <c r="AC35" i="2"/>
  <c r="AD33" i="2"/>
  <c r="S33" i="2"/>
  <c r="R34" i="2"/>
  <c r="AA34" i="2"/>
  <c r="G34" i="2"/>
  <c r="W31" i="2"/>
  <c r="AE31" i="2"/>
  <c r="AB35" i="2"/>
  <c r="F35" i="2"/>
  <c r="I35" i="2"/>
  <c r="N37" i="2"/>
  <c r="H36" i="2"/>
  <c r="J36" i="2"/>
  <c r="P36" i="2"/>
  <c r="Y40" i="2" l="1"/>
  <c r="C40" i="2"/>
  <c r="B41" i="2"/>
  <c r="D42" i="2"/>
  <c r="Z41" i="2"/>
  <c r="E41" i="2"/>
  <c r="AD34" i="2"/>
  <c r="S34" i="2"/>
  <c r="T34" i="2"/>
  <c r="F36" i="2"/>
  <c r="AB36" i="2"/>
  <c r="I36" i="2"/>
  <c r="P37" i="2"/>
  <c r="N38" i="2"/>
  <c r="H37" i="2"/>
  <c r="J37" i="2"/>
  <c r="O37" i="2"/>
  <c r="Q36" i="2"/>
  <c r="W33" i="2"/>
  <c r="AE33" i="2"/>
  <c r="K36" i="2"/>
  <c r="M36" i="2" s="1"/>
  <c r="L36" i="2"/>
  <c r="AC36" i="2"/>
  <c r="G35" i="2"/>
  <c r="R35" i="2"/>
  <c r="T35" i="2" s="1"/>
  <c r="AA35" i="2"/>
  <c r="D43" i="2" l="1"/>
  <c r="Z42" i="2"/>
  <c r="B42" i="2"/>
  <c r="E42" i="2"/>
  <c r="Y41" i="2"/>
  <c r="C41" i="2"/>
  <c r="L37" i="2"/>
  <c r="AC37" i="2"/>
  <c r="K37" i="2"/>
  <c r="M37" i="2" s="1"/>
  <c r="Q37" i="2"/>
  <c r="O38" i="2"/>
  <c r="U35" i="2"/>
  <c r="V35" i="2"/>
  <c r="AD35" i="2"/>
  <c r="S35" i="2"/>
  <c r="R36" i="2"/>
  <c r="G36" i="2"/>
  <c r="T36" i="2"/>
  <c r="AA36" i="2"/>
  <c r="U34" i="2"/>
  <c r="V34" i="2"/>
  <c r="AB37" i="2"/>
  <c r="F37" i="2"/>
  <c r="I37" i="2"/>
  <c r="H38" i="2"/>
  <c r="P38" i="2"/>
  <c r="N39" i="2"/>
  <c r="J38" i="2"/>
  <c r="C42" i="2" l="1"/>
  <c r="Y42" i="2"/>
  <c r="Z43" i="2"/>
  <c r="B43" i="2"/>
  <c r="E43" i="2"/>
  <c r="D44" i="2"/>
  <c r="Q38" i="2"/>
  <c r="O39" i="2"/>
  <c r="AE34" i="2"/>
  <c r="W34" i="2"/>
  <c r="K38" i="2"/>
  <c r="M38" i="2" s="1"/>
  <c r="L38" i="2"/>
  <c r="AC38" i="2"/>
  <c r="AA37" i="2"/>
  <c r="R37" i="2"/>
  <c r="G37" i="2"/>
  <c r="T37" i="2"/>
  <c r="U36" i="2"/>
  <c r="V36" i="2"/>
  <c r="S36" i="2"/>
  <c r="AD36" i="2"/>
  <c r="N40" i="2"/>
  <c r="H39" i="2"/>
  <c r="J39" i="2"/>
  <c r="P39" i="2"/>
  <c r="W35" i="2"/>
  <c r="AE35" i="2"/>
  <c r="I38" i="2"/>
  <c r="AB38" i="2"/>
  <c r="F38" i="2"/>
  <c r="D45" i="2" l="1"/>
  <c r="Z44" i="2"/>
  <c r="B44" i="2"/>
  <c r="E44" i="2"/>
  <c r="C43" i="2"/>
  <c r="Y43" i="2"/>
  <c r="K39" i="2"/>
  <c r="M39" i="2" s="1"/>
  <c r="L39" i="2"/>
  <c r="AC39" i="2"/>
  <c r="P40" i="2"/>
  <c r="N41" i="2"/>
  <c r="H40" i="2"/>
  <c r="J40" i="2"/>
  <c r="F39" i="2"/>
  <c r="I39" i="2"/>
  <c r="AB39" i="2"/>
  <c r="AA38" i="2"/>
  <c r="R38" i="2"/>
  <c r="G38" i="2"/>
  <c r="AE36" i="2"/>
  <c r="W36" i="2"/>
  <c r="U37" i="2"/>
  <c r="V37" i="2"/>
  <c r="O40" i="2"/>
  <c r="Q39" i="2"/>
  <c r="AD37" i="2"/>
  <c r="S37" i="2"/>
  <c r="Y44" i="2" l="1"/>
  <c r="C44" i="2"/>
  <c r="E45" i="2"/>
  <c r="Z45" i="2"/>
  <c r="D46" i="2"/>
  <c r="B45" i="2"/>
  <c r="AE37" i="2"/>
  <c r="W37" i="2"/>
  <c r="AD38" i="2"/>
  <c r="S38" i="2"/>
  <c r="AB40" i="2"/>
  <c r="F40" i="2"/>
  <c r="I40" i="2"/>
  <c r="H41" i="2"/>
  <c r="J41" i="2"/>
  <c r="P41" i="2"/>
  <c r="N42" i="2"/>
  <c r="Q40" i="2"/>
  <c r="O41" i="2"/>
  <c r="AC40" i="2"/>
  <c r="K40" i="2"/>
  <c r="M40" i="2" s="1"/>
  <c r="L40" i="2"/>
  <c r="T38" i="2"/>
  <c r="R39" i="2"/>
  <c r="T39" i="2" s="1"/>
  <c r="G39" i="2"/>
  <c r="AA39" i="2"/>
  <c r="Y45" i="2" l="1"/>
  <c r="C45" i="2"/>
  <c r="D47" i="2"/>
  <c r="E46" i="2"/>
  <c r="Z46" i="2"/>
  <c r="B46" i="2"/>
  <c r="O42" i="2"/>
  <c r="Q41" i="2"/>
  <c r="K41" i="2"/>
  <c r="M41" i="2" s="1"/>
  <c r="L41" i="2"/>
  <c r="AC41" i="2"/>
  <c r="U38" i="2"/>
  <c r="V38" i="2"/>
  <c r="P42" i="2"/>
  <c r="N43" i="2"/>
  <c r="H42" i="2"/>
  <c r="J42" i="2"/>
  <c r="I41" i="2"/>
  <c r="AB41" i="2"/>
  <c r="F41" i="2"/>
  <c r="U39" i="2"/>
  <c r="V39" i="2"/>
  <c r="S39" i="2"/>
  <c r="AD39" i="2"/>
  <c r="AA40" i="2"/>
  <c r="R40" i="2"/>
  <c r="G40" i="2"/>
  <c r="T40" i="2"/>
  <c r="Y46" i="2" l="1"/>
  <c r="C46" i="2"/>
  <c r="E47" i="2"/>
  <c r="D48" i="2"/>
  <c r="B47" i="2"/>
  <c r="Z47" i="2"/>
  <c r="AC42" i="2"/>
  <c r="K42" i="2"/>
  <c r="M42" i="2" s="1"/>
  <c r="L42" i="2"/>
  <c r="J43" i="2"/>
  <c r="P43" i="2"/>
  <c r="N44" i="2"/>
  <c r="H43" i="2"/>
  <c r="W38" i="2"/>
  <c r="AE38" i="2"/>
  <c r="AB42" i="2"/>
  <c r="F42" i="2"/>
  <c r="I42" i="2"/>
  <c r="AE39" i="2"/>
  <c r="W39" i="2"/>
  <c r="G41" i="2"/>
  <c r="AA41" i="2"/>
  <c r="R41" i="2"/>
  <c r="T41" i="2" s="1"/>
  <c r="U40" i="2"/>
  <c r="V40" i="2"/>
  <c r="AD40" i="2"/>
  <c r="S40" i="2"/>
  <c r="Q42" i="2"/>
  <c r="O43" i="2"/>
  <c r="E48" i="2" l="1"/>
  <c r="D49" i="2"/>
  <c r="Z48" i="2"/>
  <c r="B48" i="2"/>
  <c r="C47" i="2"/>
  <c r="Y47" i="2"/>
  <c r="AB43" i="2"/>
  <c r="F43" i="2"/>
  <c r="I43" i="2"/>
  <c r="U41" i="2"/>
  <c r="V41" i="2"/>
  <c r="Q43" i="2"/>
  <c r="O44" i="2"/>
  <c r="AE40" i="2"/>
  <c r="W40" i="2"/>
  <c r="R42" i="2"/>
  <c r="G42" i="2"/>
  <c r="AA42" i="2"/>
  <c r="N45" i="2"/>
  <c r="H44" i="2"/>
  <c r="J44" i="2"/>
  <c r="P44" i="2"/>
  <c r="K43" i="2"/>
  <c r="M43" i="2" s="1"/>
  <c r="L43" i="2"/>
  <c r="AC43" i="2"/>
  <c r="S41" i="2"/>
  <c r="AD41" i="2"/>
  <c r="Z49" i="2" l="1"/>
  <c r="E49" i="2"/>
  <c r="D50" i="2"/>
  <c r="B49" i="2"/>
  <c r="Y48" i="2"/>
  <c r="C48" i="2"/>
  <c r="AD42" i="2"/>
  <c r="S42" i="2"/>
  <c r="Q44" i="2"/>
  <c r="O45" i="2"/>
  <c r="F44" i="2"/>
  <c r="I44" i="2"/>
  <c r="AB44" i="2"/>
  <c r="W41" i="2"/>
  <c r="AE41" i="2"/>
  <c r="AC44" i="2"/>
  <c r="K44" i="2"/>
  <c r="M44" i="2" s="1"/>
  <c r="L44" i="2"/>
  <c r="P45" i="2"/>
  <c r="N46" i="2"/>
  <c r="H45" i="2"/>
  <c r="J45" i="2"/>
  <c r="AA43" i="2"/>
  <c r="R43" i="2"/>
  <c r="G43" i="2"/>
  <c r="T42" i="2"/>
  <c r="B50" i="2" l="1"/>
  <c r="D51" i="2"/>
  <c r="Z50" i="2"/>
  <c r="E50" i="2"/>
  <c r="Y49" i="2"/>
  <c r="C49" i="2"/>
  <c r="AD43" i="2"/>
  <c r="S43" i="2"/>
  <c r="L45" i="2"/>
  <c r="AC45" i="2"/>
  <c r="K45" i="2"/>
  <c r="M45" i="2" s="1"/>
  <c r="R44" i="2"/>
  <c r="T44" i="2" s="1"/>
  <c r="G44" i="2"/>
  <c r="AA44" i="2"/>
  <c r="AB45" i="2"/>
  <c r="F45" i="2"/>
  <c r="I45" i="2"/>
  <c r="N47" i="2"/>
  <c r="H46" i="2"/>
  <c r="J46" i="2"/>
  <c r="P46" i="2"/>
  <c r="U42" i="2"/>
  <c r="V42" i="2"/>
  <c r="Q45" i="2"/>
  <c r="O46" i="2"/>
  <c r="T43" i="2"/>
  <c r="Z51" i="2" l="1"/>
  <c r="B51" i="2"/>
  <c r="E51" i="2"/>
  <c r="D52" i="2"/>
  <c r="C50" i="2"/>
  <c r="Y50" i="2"/>
  <c r="I46" i="2"/>
  <c r="AB46" i="2"/>
  <c r="F46" i="2"/>
  <c r="P47" i="2"/>
  <c r="N48" i="2"/>
  <c r="H47" i="2"/>
  <c r="J47" i="2"/>
  <c r="K46" i="2"/>
  <c r="M46" i="2" s="1"/>
  <c r="L46" i="2"/>
  <c r="AC46" i="2"/>
  <c r="AA45" i="2"/>
  <c r="R45" i="2"/>
  <c r="G45" i="2"/>
  <c r="T45" i="2"/>
  <c r="O47" i="2"/>
  <c r="Q46" i="2"/>
  <c r="U43" i="2"/>
  <c r="V43" i="2"/>
  <c r="U44" i="2"/>
  <c r="V44" i="2"/>
  <c r="AE42" i="2"/>
  <c r="W42" i="2"/>
  <c r="AD44" i="2"/>
  <c r="S44" i="2"/>
  <c r="Y51" i="2" l="1"/>
  <c r="C51" i="2"/>
  <c r="B52" i="2"/>
  <c r="E52" i="2"/>
  <c r="D53" i="2"/>
  <c r="Z52" i="2"/>
  <c r="U45" i="2"/>
  <c r="V45" i="2"/>
  <c r="AC47" i="2"/>
  <c r="K47" i="2"/>
  <c r="M47" i="2" s="1"/>
  <c r="L47" i="2"/>
  <c r="AE44" i="2"/>
  <c r="W44" i="2"/>
  <c r="AB47" i="2"/>
  <c r="F47" i="2"/>
  <c r="I47" i="2"/>
  <c r="J48" i="2"/>
  <c r="P48" i="2"/>
  <c r="H48" i="2"/>
  <c r="N49" i="2"/>
  <c r="Q47" i="2"/>
  <c r="O48" i="2"/>
  <c r="AD45" i="2"/>
  <c r="S45" i="2"/>
  <c r="G46" i="2"/>
  <c r="R46" i="2"/>
  <c r="AA46" i="2"/>
  <c r="W43" i="2"/>
  <c r="AE43" i="2"/>
  <c r="B53" i="2" l="1"/>
  <c r="D54" i="2"/>
  <c r="Z53" i="2"/>
  <c r="E53" i="2"/>
  <c r="C52" i="2"/>
  <c r="Y52" i="2"/>
  <c r="K48" i="2"/>
  <c r="M48" i="2" s="1"/>
  <c r="L48" i="2"/>
  <c r="AC48" i="2"/>
  <c r="AA47" i="2"/>
  <c r="R47" i="2"/>
  <c r="T47" i="2" s="1"/>
  <c r="G47" i="2"/>
  <c r="S46" i="2"/>
  <c r="AD46" i="2"/>
  <c r="P49" i="2"/>
  <c r="N50" i="2"/>
  <c r="H49" i="2"/>
  <c r="J49" i="2"/>
  <c r="W45" i="2"/>
  <c r="AE45" i="2"/>
  <c r="Q48" i="2"/>
  <c r="O49" i="2"/>
  <c r="T46" i="2"/>
  <c r="I48" i="2"/>
  <c r="AB48" i="2"/>
  <c r="F48" i="2"/>
  <c r="B54" i="2" l="1"/>
  <c r="Z54" i="2"/>
  <c r="E54" i="2"/>
  <c r="D55" i="2"/>
  <c r="Y53" i="2"/>
  <c r="C53" i="2"/>
  <c r="F49" i="2"/>
  <c r="I49" i="2"/>
  <c r="AB49" i="2"/>
  <c r="AD47" i="2"/>
  <c r="S47" i="2"/>
  <c r="J50" i="2"/>
  <c r="P50" i="2"/>
  <c r="N51" i="2"/>
  <c r="H50" i="2"/>
  <c r="AA48" i="2"/>
  <c r="R48" i="2"/>
  <c r="T48" i="2" s="1"/>
  <c r="G48" i="2"/>
  <c r="Q49" i="2"/>
  <c r="O50" i="2"/>
  <c r="U47" i="2"/>
  <c r="V47" i="2"/>
  <c r="AC49" i="2"/>
  <c r="K49" i="2"/>
  <c r="M49" i="2" s="1"/>
  <c r="L49" i="2"/>
  <c r="U46" i="2"/>
  <c r="V46" i="2"/>
  <c r="B55" i="2" l="1"/>
  <c r="Z55" i="2"/>
  <c r="E55" i="2"/>
  <c r="D56" i="2"/>
  <c r="C54" i="2"/>
  <c r="Y54" i="2"/>
  <c r="U48" i="2"/>
  <c r="V48" i="2"/>
  <c r="Q50" i="2"/>
  <c r="O51" i="2"/>
  <c r="AE47" i="2"/>
  <c r="W47" i="2"/>
  <c r="AE46" i="2"/>
  <c r="W46" i="2"/>
  <c r="AD48" i="2"/>
  <c r="S48" i="2"/>
  <c r="AB50" i="2"/>
  <c r="F50" i="2"/>
  <c r="I50" i="2"/>
  <c r="K50" i="2"/>
  <c r="M50" i="2" s="1"/>
  <c r="L50" i="2"/>
  <c r="AC50" i="2"/>
  <c r="N52" i="2"/>
  <c r="H51" i="2"/>
  <c r="J51" i="2"/>
  <c r="P51" i="2"/>
  <c r="R49" i="2"/>
  <c r="T49" i="2" s="1"/>
  <c r="G49" i="2"/>
  <c r="AA49" i="2"/>
  <c r="B56" i="2" l="1"/>
  <c r="D57" i="2"/>
  <c r="Z56" i="2"/>
  <c r="E56" i="2"/>
  <c r="C55" i="2"/>
  <c r="Y55" i="2"/>
  <c r="P52" i="2"/>
  <c r="N53" i="2"/>
  <c r="H52" i="2"/>
  <c r="J52" i="2"/>
  <c r="AA50" i="2"/>
  <c r="R50" i="2"/>
  <c r="T50" i="2" s="1"/>
  <c r="G50" i="2"/>
  <c r="U49" i="2"/>
  <c r="V49" i="2"/>
  <c r="AD49" i="2"/>
  <c r="S49" i="2"/>
  <c r="Q51" i="2"/>
  <c r="O52" i="2"/>
  <c r="K51" i="2"/>
  <c r="M51" i="2" s="1"/>
  <c r="L51" i="2"/>
  <c r="AC51" i="2"/>
  <c r="W48" i="2"/>
  <c r="AE48" i="2"/>
  <c r="F51" i="2"/>
  <c r="I51" i="2"/>
  <c r="AB51" i="2"/>
  <c r="B57" i="2" l="1"/>
  <c r="E57" i="2"/>
  <c r="D58" i="2"/>
  <c r="Z57" i="2"/>
  <c r="C56" i="2"/>
  <c r="Y56" i="2"/>
  <c r="AE49" i="2"/>
  <c r="W49" i="2"/>
  <c r="AC52" i="2"/>
  <c r="L52" i="2"/>
  <c r="K52" i="2"/>
  <c r="M52" i="2" s="1"/>
  <c r="AD50" i="2"/>
  <c r="S50" i="2"/>
  <c r="AB52" i="2"/>
  <c r="F52" i="2"/>
  <c r="I52" i="2"/>
  <c r="U50" i="2"/>
  <c r="V50" i="2"/>
  <c r="H53" i="2"/>
  <c r="N54" i="2"/>
  <c r="J53" i="2"/>
  <c r="P53" i="2"/>
  <c r="Q52" i="2"/>
  <c r="O53" i="2"/>
  <c r="R51" i="2"/>
  <c r="G51" i="2"/>
  <c r="T51" i="2"/>
  <c r="AA51" i="2"/>
  <c r="B58" i="2" l="1"/>
  <c r="E58" i="2"/>
  <c r="Z58" i="2"/>
  <c r="D59" i="2"/>
  <c r="Y57" i="2"/>
  <c r="C57" i="2"/>
  <c r="I53" i="2"/>
  <c r="F53" i="2"/>
  <c r="AB53" i="2"/>
  <c r="K53" i="2"/>
  <c r="M53" i="2" s="1"/>
  <c r="L53" i="2"/>
  <c r="AC53" i="2"/>
  <c r="P54" i="2"/>
  <c r="N55" i="2"/>
  <c r="H54" i="2"/>
  <c r="J54" i="2"/>
  <c r="W50" i="2"/>
  <c r="AE50" i="2"/>
  <c r="U51" i="2"/>
  <c r="V51" i="2"/>
  <c r="O54" i="2"/>
  <c r="Q53" i="2"/>
  <c r="AA52" i="2"/>
  <c r="R52" i="2"/>
  <c r="T52" i="2" s="1"/>
  <c r="G52" i="2"/>
  <c r="S51" i="2"/>
  <c r="AD51" i="2"/>
  <c r="B59" i="2" l="1"/>
  <c r="E59" i="2"/>
  <c r="Z59" i="2"/>
  <c r="Y58" i="2"/>
  <c r="C58" i="2"/>
  <c r="U52" i="2"/>
  <c r="V52" i="2"/>
  <c r="L54" i="2"/>
  <c r="AC54" i="2"/>
  <c r="K54" i="2"/>
  <c r="M54" i="2" s="1"/>
  <c r="O55" i="2"/>
  <c r="Q54" i="2"/>
  <c r="AB54" i="2"/>
  <c r="F54" i="2"/>
  <c r="I54" i="2"/>
  <c r="AE51" i="2"/>
  <c r="W51" i="2"/>
  <c r="AD52" i="2"/>
  <c r="S52" i="2"/>
  <c r="J55" i="2"/>
  <c r="P55" i="2"/>
  <c r="N56" i="2"/>
  <c r="H55" i="2"/>
  <c r="R53" i="2"/>
  <c r="T53" i="2" s="1"/>
  <c r="G53" i="2"/>
  <c r="AA53" i="2"/>
  <c r="C59" i="2" l="1"/>
  <c r="Y59" i="2"/>
  <c r="U53" i="2"/>
  <c r="V53" i="2"/>
  <c r="O56" i="2"/>
  <c r="Q55" i="2"/>
  <c r="R54" i="2"/>
  <c r="G54" i="2"/>
  <c r="T54" i="2"/>
  <c r="AA54" i="2"/>
  <c r="AB55" i="2"/>
  <c r="I55" i="2"/>
  <c r="F55" i="2"/>
  <c r="N57" i="2"/>
  <c r="H56" i="2"/>
  <c r="J56" i="2"/>
  <c r="P56" i="2"/>
  <c r="AE52" i="2"/>
  <c r="W52" i="2"/>
  <c r="AD53" i="2"/>
  <c r="S53" i="2"/>
  <c r="K55" i="2"/>
  <c r="M55" i="2" s="1"/>
  <c r="L55" i="2"/>
  <c r="AC55" i="2"/>
  <c r="G55" i="2" l="1"/>
  <c r="AA55" i="2"/>
  <c r="R55" i="2"/>
  <c r="T55" i="2"/>
  <c r="J57" i="2"/>
  <c r="P57" i="2"/>
  <c r="H57" i="2"/>
  <c r="N58" i="2"/>
  <c r="AC56" i="2"/>
  <c r="K56" i="2"/>
  <c r="M56" i="2" s="1"/>
  <c r="L56" i="2"/>
  <c r="AE53" i="2"/>
  <c r="W53" i="2"/>
  <c r="U54" i="2"/>
  <c r="V54" i="2"/>
  <c r="AD54" i="2"/>
  <c r="S54" i="2"/>
  <c r="Q56" i="2"/>
  <c r="O57" i="2"/>
  <c r="F56" i="2"/>
  <c r="I56" i="2"/>
  <c r="AB56" i="2"/>
  <c r="I57" i="2" l="1"/>
  <c r="AB57" i="2"/>
  <c r="F57" i="2"/>
  <c r="N59" i="2"/>
  <c r="P58" i="2"/>
  <c r="H58" i="2"/>
  <c r="J58" i="2"/>
  <c r="U55" i="2"/>
  <c r="V55" i="2"/>
  <c r="AE54" i="2"/>
  <c r="W54" i="2"/>
  <c r="R56" i="2"/>
  <c r="T56" i="2" s="1"/>
  <c r="G56" i="2"/>
  <c r="AA56" i="2"/>
  <c r="Q57" i="2"/>
  <c r="O58" i="2"/>
  <c r="L57" i="2"/>
  <c r="AC57" i="2"/>
  <c r="K57" i="2"/>
  <c r="M57" i="2" s="1"/>
  <c r="S55" i="2"/>
  <c r="AD55" i="2"/>
  <c r="U56" i="2" l="1"/>
  <c r="V56" i="2"/>
  <c r="W55" i="2"/>
  <c r="AE55" i="2"/>
  <c r="F58" i="2"/>
  <c r="I58" i="2"/>
  <c r="AB58" i="2"/>
  <c r="H59" i="2"/>
  <c r="P59" i="2"/>
  <c r="N60" i="2"/>
  <c r="J59" i="2"/>
  <c r="AD56" i="2"/>
  <c r="S56" i="2"/>
  <c r="L58" i="2"/>
  <c r="K58" i="2"/>
  <c r="M58" i="2" s="1"/>
  <c r="AC58" i="2"/>
  <c r="O59" i="2"/>
  <c r="Q58" i="2"/>
  <c r="AA57" i="2"/>
  <c r="R57" i="2"/>
  <c r="T57" i="2" s="1"/>
  <c r="G57" i="2"/>
  <c r="U57" i="2" l="1"/>
  <c r="V57" i="2"/>
  <c r="AD57" i="2"/>
  <c r="S57" i="2"/>
  <c r="AB59" i="2"/>
  <c r="F59" i="2"/>
  <c r="I59" i="2"/>
  <c r="Q59" i="2"/>
  <c r="O60" i="2"/>
  <c r="Q60" i="2" s="1"/>
  <c r="AC59" i="2"/>
  <c r="L59" i="2"/>
  <c r="K59" i="2"/>
  <c r="M59" i="2" s="1"/>
  <c r="J60" i="2"/>
  <c r="P60" i="2"/>
  <c r="H60" i="2"/>
  <c r="G58" i="2"/>
  <c r="AA58" i="2"/>
  <c r="R58" i="2"/>
  <c r="AE56" i="2"/>
  <c r="W56" i="2"/>
  <c r="AA59" i="2" l="1"/>
  <c r="G59" i="2"/>
  <c r="R59" i="2"/>
  <c r="AE57" i="2"/>
  <c r="W57" i="2"/>
  <c r="S58" i="2"/>
  <c r="AD58" i="2"/>
  <c r="T58" i="2"/>
  <c r="AB60" i="2"/>
  <c r="F60" i="2"/>
  <c r="I60" i="2"/>
  <c r="AC60" i="2"/>
  <c r="K60" i="2"/>
  <c r="M60" i="2" s="1"/>
  <c r="L60" i="2"/>
  <c r="AA60" i="2" l="1"/>
  <c r="R60" i="2"/>
  <c r="G60" i="2"/>
  <c r="U58" i="2"/>
  <c r="V58" i="2"/>
  <c r="AD59" i="2"/>
  <c r="S59" i="2"/>
  <c r="T59" i="2"/>
  <c r="U59" i="2" l="1"/>
  <c r="V59" i="2"/>
  <c r="AE58" i="2"/>
  <c r="W58" i="2"/>
  <c r="AD60" i="2"/>
  <c r="S60" i="2"/>
  <c r="T60" i="2"/>
  <c r="V60" i="2" l="1"/>
  <c r="U60" i="2"/>
  <c r="AE59" i="2"/>
  <c r="W59" i="2"/>
  <c r="W60" i="2" l="1"/>
  <c r="AE60" i="2"/>
</calcChain>
</file>

<file path=xl/sharedStrings.xml><?xml version="1.0" encoding="utf-8"?>
<sst xmlns="http://schemas.openxmlformats.org/spreadsheetml/2006/main" count="198" uniqueCount="116">
  <si>
    <t>Inlet</t>
  </si>
  <si>
    <t>psia</t>
  </si>
  <si>
    <t>F</t>
  </si>
  <si>
    <t>Rg</t>
  </si>
  <si>
    <t>ft-lbf/lbm-R</t>
  </si>
  <si>
    <t>Gamma</t>
  </si>
  <si>
    <t>-</t>
  </si>
  <si>
    <t>Specific heat ratio</t>
  </si>
  <si>
    <t>lbm-ft/lbf-s2</t>
  </si>
  <si>
    <t>mdot</t>
  </si>
  <si>
    <t>mass flow rate</t>
  </si>
  <si>
    <t>lbm/sec</t>
  </si>
  <si>
    <t>D</t>
  </si>
  <si>
    <t>inches</t>
  </si>
  <si>
    <t>pipe diameter</t>
  </si>
  <si>
    <t>ft</t>
  </si>
  <si>
    <t>A</t>
  </si>
  <si>
    <t>pipe area</t>
  </si>
  <si>
    <t>sq. inches</t>
  </si>
  <si>
    <t>sq. ft</t>
  </si>
  <si>
    <t>R</t>
  </si>
  <si>
    <t>degrees Rankine</t>
  </si>
  <si>
    <t>Z</t>
  </si>
  <si>
    <t>Outlet</t>
  </si>
  <si>
    <t>ft/s</t>
  </si>
  <si>
    <t>lbm/ft3</t>
  </si>
  <si>
    <t>degrees F</t>
  </si>
  <si>
    <t>Convert from F to R</t>
  </si>
  <si>
    <t>Btu/lbm</t>
  </si>
  <si>
    <t>Temperature</t>
  </si>
  <si>
    <t>ft_lbf/Btu</t>
  </si>
  <si>
    <t>ft/s (sonic velocity)</t>
  </si>
  <si>
    <t>L</t>
  </si>
  <si>
    <t>pipe length</t>
  </si>
  <si>
    <t>f</t>
  </si>
  <si>
    <t>fL/D</t>
  </si>
  <si>
    <t>M2</t>
  </si>
  <si>
    <t>To1</t>
  </si>
  <si>
    <t>M1</t>
  </si>
  <si>
    <t>P1</t>
  </si>
  <si>
    <t>T1</t>
  </si>
  <si>
    <t>rho1</t>
  </si>
  <si>
    <t>V1</t>
  </si>
  <si>
    <t>h1</t>
  </si>
  <si>
    <t>ho1</t>
  </si>
  <si>
    <t>ho2</t>
  </si>
  <si>
    <t>From Saad page 94, solving for P2/P1 etc.</t>
  </si>
  <si>
    <t>P2</t>
  </si>
  <si>
    <t>T2</t>
  </si>
  <si>
    <t>Po2</t>
  </si>
  <si>
    <t>To2</t>
  </si>
  <si>
    <t>rho2</t>
  </si>
  <si>
    <t>V2</t>
  </si>
  <si>
    <t>h2</t>
  </si>
  <si>
    <t>Air gas constant</t>
  </si>
  <si>
    <t>kJ/kg-K</t>
  </si>
  <si>
    <t>m</t>
  </si>
  <si>
    <t>gc</t>
  </si>
  <si>
    <t>Convert from C to K</t>
  </si>
  <si>
    <t>Heat Conversion</t>
  </si>
  <si>
    <t>Convert Btu to lbf-ft</t>
  </si>
  <si>
    <t>Weight-Mass conversion</t>
  </si>
  <si>
    <t>cm</t>
  </si>
  <si>
    <t>sq cm</t>
  </si>
  <si>
    <t>sq m</t>
  </si>
  <si>
    <t>kPa</t>
  </si>
  <si>
    <t>kJ/kg</t>
  </si>
  <si>
    <t>kg/s</t>
  </si>
  <si>
    <t>Specific Heat</t>
  </si>
  <si>
    <t>Btu/lbm-R</t>
  </si>
  <si>
    <t>Average over range</t>
  </si>
  <si>
    <t>Iterate using goal seek</t>
  </si>
  <si>
    <t>iterate until this is zero</t>
  </si>
  <si>
    <t>c1</t>
  </si>
  <si>
    <t>c2</t>
  </si>
  <si>
    <t>Compressibility factor (=1 means ideal gas)</t>
  </si>
  <si>
    <t>kg-m/N-s2</t>
  </si>
  <si>
    <t>degress C</t>
  </si>
  <si>
    <t>Knowns</t>
  </si>
  <si>
    <t>General Data</t>
  </si>
  <si>
    <t>C</t>
  </si>
  <si>
    <t>kg/m3</t>
  </si>
  <si>
    <t>m/s</t>
  </si>
  <si>
    <t>m/s (sonic velocity)</t>
  </si>
  <si>
    <t>= cp* T (approximation)</t>
  </si>
  <si>
    <t>friction factor</t>
  </si>
  <si>
    <t>Actual</t>
  </si>
  <si>
    <t>1. Flow is adiabatic and horizontal - stagnation enthalpy is constant - also if gas is calorically perfect then stagnation temperature is also constant</t>
  </si>
  <si>
    <t>EQUATION 1</t>
  </si>
  <si>
    <t>Using current M1 and M2 in Eq. 1</t>
  </si>
  <si>
    <t xml:space="preserve">fL/D </t>
  </si>
  <si>
    <t>(RHS of Eq 1)</t>
  </si>
  <si>
    <t xml:space="preserve">fL/D difference </t>
  </si>
  <si>
    <t>1. Since we know M2, we can solve for M1 from the fL/D Eqn 1</t>
  </si>
  <si>
    <t>2. Since we know M1 and M2, plus To_1 and To_2, we can get the static temperatures</t>
  </si>
  <si>
    <t>2. We know that To2 = To1 since the flow is adiabatic and air is acting as a calorically perfect gas</t>
  </si>
  <si>
    <t>Po1</t>
  </si>
  <si>
    <t>x</t>
  </si>
  <si>
    <t>M</t>
  </si>
  <si>
    <t>f(M)</t>
  </si>
  <si>
    <t>P</t>
  </si>
  <si>
    <t>Po</t>
  </si>
  <si>
    <t>T</t>
  </si>
  <si>
    <t>To</t>
  </si>
  <si>
    <t>rho</t>
  </si>
  <si>
    <t>c</t>
  </si>
  <si>
    <t>V</t>
  </si>
  <si>
    <t>x/L</t>
  </si>
  <si>
    <t>P/P1</t>
  </si>
  <si>
    <t>Po/Po1</t>
  </si>
  <si>
    <t>T/T1</t>
  </si>
  <si>
    <t>rho/rho1</t>
  </si>
  <si>
    <t>V/V1</t>
  </si>
  <si>
    <t>(lbm-R/lbf-ft)^0.5</t>
  </si>
  <si>
    <t>K</t>
  </si>
  <si>
    <t>lbm/ft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</si>
</sst>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0"/>
    <numFmt numFmtId="166" formatCode="0.000"/>
    <numFmt numFmtId="167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165" fontId="0" fillId="0" borderId="0" xfId="0" applyNumberFormat="1"/>
    <xf numFmtId="166" fontId="0" fillId="0" borderId="0" xfId="0" applyNumberFormat="1"/>
    <xf numFmtId="2" fontId="0" fillId="0" borderId="0" xfId="0" applyNumberFormat="1"/>
    <xf numFmtId="0" fontId="0" fillId="0" borderId="0" xfId="0" quotePrefix="1"/>
    <xf numFmtId="0" fontId="1" fillId="2" borderId="1" xfId="0" applyFont="1" applyFill="1" applyBorder="1"/>
    <xf numFmtId="165" fontId="0" fillId="3" borderId="0" xfId="0" applyNumberFormat="1" applyFill="1" applyAlignment="1">
      <alignment horizontal="right"/>
    </xf>
    <xf numFmtId="0" fontId="0" fillId="3" borderId="0" xfId="0" applyFill="1"/>
    <xf numFmtId="0" fontId="0" fillId="0" borderId="7" xfId="0" quotePrefix="1" applyBorder="1"/>
    <xf numFmtId="2" fontId="0" fillId="0" borderId="0" xfId="0" applyNumberFormat="1" applyAlignment="1">
      <alignment horizontal="left" indent="4"/>
    </xf>
    <xf numFmtId="166" fontId="0" fillId="4" borderId="0" xfId="0" applyNumberFormat="1" applyFill="1"/>
    <xf numFmtId="0" fontId="1" fillId="0" borderId="0" xfId="0" applyFont="1"/>
    <xf numFmtId="0" fontId="0" fillId="2" borderId="0" xfId="0" applyFill="1"/>
    <xf numFmtId="167" fontId="0" fillId="0" borderId="0" xfId="0" applyNumberFormat="1"/>
    <xf numFmtId="0" fontId="1" fillId="2" borderId="4" xfId="0" applyFont="1" applyFill="1" applyBorder="1"/>
    <xf numFmtId="0" fontId="0" fillId="2" borderId="2" xfId="0" applyFill="1" applyBorder="1"/>
    <xf numFmtId="0" fontId="0" fillId="0" borderId="4" xfId="0" applyBorder="1" applyAlignment="1">
      <alignment horizontal="right"/>
    </xf>
    <xf numFmtId="0" fontId="2" fillId="0" borderId="0" xfId="0" applyFont="1"/>
    <xf numFmtId="0" fontId="2" fillId="0" borderId="4" xfId="0" applyFont="1" applyBorder="1"/>
    <xf numFmtId="0" fontId="0" fillId="0" borderId="4" xfId="0" applyBorder="1" applyAlignment="1">
      <alignment horizontal="left"/>
    </xf>
    <xf numFmtId="166" fontId="0" fillId="3" borderId="0" xfId="0" applyNumberFormat="1" applyFill="1"/>
    <xf numFmtId="0" fontId="1" fillId="5" borderId="9" xfId="0" applyFont="1" applyFill="1" applyBorder="1"/>
    <xf numFmtId="0" fontId="1" fillId="5" borderId="10" xfId="0" applyFont="1" applyFill="1" applyBorder="1"/>
    <xf numFmtId="0" fontId="4" fillId="0" borderId="4" xfId="0" applyFont="1" applyBorder="1"/>
    <xf numFmtId="165" fontId="0" fillId="5" borderId="0" xfId="0" applyNumberFormat="1" applyFill="1"/>
    <xf numFmtId="0" fontId="1" fillId="6" borderId="0" xfId="0" applyFont="1" applyFill="1" applyAlignment="1">
      <alignment horizontal="center"/>
    </xf>
    <xf numFmtId="0" fontId="0" fillId="6" borderId="0" xfId="0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png"/><Relationship Id="rId1" Type="http://schemas.openxmlformats.org/officeDocument/2006/relationships/image" Target="../media/image10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428625</xdr:colOff>
          <xdr:row>111</xdr:row>
          <xdr:rowOff>133350</xdr:rowOff>
        </xdr:from>
        <xdr:to>
          <xdr:col>7</xdr:col>
          <xdr:colOff>390525</xdr:colOff>
          <xdr:row>115</xdr:row>
          <xdr:rowOff>57150</xdr:rowOff>
        </xdr:to>
        <xdr:sp macro="" textlink="">
          <xdr:nvSpPr>
            <xdr:cNvPr id="1093" name="Object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0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127</xdr:row>
          <xdr:rowOff>152400</xdr:rowOff>
        </xdr:from>
        <xdr:to>
          <xdr:col>6</xdr:col>
          <xdr:colOff>457200</xdr:colOff>
          <xdr:row>129</xdr:row>
          <xdr:rowOff>57150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542925</xdr:colOff>
          <xdr:row>122</xdr:row>
          <xdr:rowOff>47625</xdr:rowOff>
        </xdr:from>
        <xdr:to>
          <xdr:col>8</xdr:col>
          <xdr:colOff>133350</xdr:colOff>
          <xdr:row>126</xdr:row>
          <xdr:rowOff>66675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533400</xdr:colOff>
          <xdr:row>117</xdr:row>
          <xdr:rowOff>76200</xdr:rowOff>
        </xdr:from>
        <xdr:to>
          <xdr:col>9</xdr:col>
          <xdr:colOff>123825</xdr:colOff>
          <xdr:row>121</xdr:row>
          <xdr:rowOff>152400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4</xdr:col>
      <xdr:colOff>466725</xdr:colOff>
      <xdr:row>54</xdr:row>
      <xdr:rowOff>66675</xdr:rowOff>
    </xdr:from>
    <xdr:to>
      <xdr:col>14</xdr:col>
      <xdr:colOff>303503</xdr:colOff>
      <xdr:row>59</xdr:row>
      <xdr:rowOff>127979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" name="Object 2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2E000000}"/>
                </a:ext>
              </a:extLst>
            </xdr:cNvPr>
            <xdr:cNvSpPr txBox="1"/>
          </xdr:nvSpPr>
          <xdr:spPr>
            <a:xfrm>
              <a:off x="3943350" y="1402080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𝑓𝐿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d>
                      <m:d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−</m:t>
                        </m:r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</m:e>
                    </m:d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+1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2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func>
                      <m:func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en-US" sz="1800" i="0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ln</m:t>
                        </m:r>
                      </m:fName>
                      <m:e>
                        <m:d>
                          <m:dPr>
                            <m:begChr m:val="["/>
                            <m:endChr m:val="]"/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</m:e>
                        </m:d>
                      </m:e>
                    </m:func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6" name="Object 21">
              <a:extLst>
                <a:ext uri="{63B3BB69-23CF-44E3-9099-C40C66FF867C}">
                  <a14:compatExt xmlns:a14="http://schemas.microsoft.com/office/drawing/2010/main" spid="_x0000_s1045"/>
                </a:ext>
                <a:ext uri="{FF2B5EF4-FFF2-40B4-BE49-F238E27FC236}">
                  <a16:creationId xmlns:a16="http://schemas.microsoft.com/office/drawing/2014/main" id="{00000000-0008-0000-0100-00002E000000}"/>
                </a:ext>
              </a:extLst>
            </xdr:cNvPr>
            <xdr:cNvSpPr txBox="1"/>
          </xdr:nvSpPr>
          <xdr:spPr>
            <a:xfrm>
              <a:off x="3943350" y="1402080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𝑓𝐿/𝐷=1/𝛾 (1/〖𝑀_1〗^2 −1/〖𝑀_2〗^2 )+(𝛾+1)/2𝛾  ln⁡[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(〖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𝑀_1〗^2/〖𝑀_2〗^2 )((1+(𝛾−1)/2 〖𝑀_2〗^2)/(1+(𝛾−1)/2 〖𝑀_1〗^2 ))]</a:t>
              </a:r>
              <a:endParaRPr lang="en-US" sz="1800"/>
            </a:p>
          </xdr:txBody>
        </xdr:sp>
      </mc:Fallback>
    </mc:AlternateContent>
    <xdr:clientData/>
  </xdr:twoCellAnchor>
  <xdr:twoCellAnchor>
    <xdr:from>
      <xdr:col>3</xdr:col>
      <xdr:colOff>419100</xdr:colOff>
      <xdr:row>82</xdr:row>
      <xdr:rowOff>95250</xdr:rowOff>
    </xdr:from>
    <xdr:to>
      <xdr:col>5</xdr:col>
      <xdr:colOff>323850</xdr:colOff>
      <xdr:row>84</xdr:row>
      <xdr:rowOff>76200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>
          <a:off x="2914650" y="15763875"/>
          <a:ext cx="1495425" cy="36195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304800</xdr:colOff>
      <xdr:row>72</xdr:row>
      <xdr:rowOff>114300</xdr:rowOff>
    </xdr:from>
    <xdr:to>
      <xdr:col>5</xdr:col>
      <xdr:colOff>390525</xdr:colOff>
      <xdr:row>73</xdr:row>
      <xdr:rowOff>28575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>
          <a:off x="2800350" y="22850475"/>
          <a:ext cx="1676400" cy="1047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561975</xdr:colOff>
      <xdr:row>80</xdr:row>
      <xdr:rowOff>114300</xdr:rowOff>
    </xdr:from>
    <xdr:to>
      <xdr:col>5</xdr:col>
      <xdr:colOff>333375</xdr:colOff>
      <xdr:row>82</xdr:row>
      <xdr:rowOff>123825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/>
      </xdr:nvCxnSpPr>
      <xdr:spPr>
        <a:xfrm>
          <a:off x="3057525" y="15401925"/>
          <a:ext cx="1362075" cy="3905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266700</xdr:colOff>
      <xdr:row>76</xdr:row>
      <xdr:rowOff>66675</xdr:rowOff>
    </xdr:from>
    <xdr:to>
      <xdr:col>5</xdr:col>
      <xdr:colOff>304800</xdr:colOff>
      <xdr:row>76</xdr:row>
      <xdr:rowOff>185738</xdr:rowOff>
    </xdr:to>
    <xdr:cxnSp macro="">
      <xdr:nvCxnSpPr>
        <xdr:cNvPr id="19" name="Straight Connector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CxnSpPr>
          <a:endCxn id="57" idx="1"/>
        </xdr:cNvCxnSpPr>
      </xdr:nvCxnSpPr>
      <xdr:spPr>
        <a:xfrm>
          <a:off x="3743325" y="14592300"/>
          <a:ext cx="647700" cy="119063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352425</xdr:colOff>
      <xdr:row>78</xdr:row>
      <xdr:rowOff>95250</xdr:rowOff>
    </xdr:from>
    <xdr:to>
      <xdr:col>5</xdr:col>
      <xdr:colOff>323850</xdr:colOff>
      <xdr:row>80</xdr:row>
      <xdr:rowOff>10193</xdr:rowOff>
    </xdr:to>
    <xdr:cxnSp macro="">
      <xdr:nvCxnSpPr>
        <xdr:cNvPr id="22" name="Straight Connector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CxnSpPr>
          <a:endCxn id="4" idx="1"/>
        </xdr:cNvCxnSpPr>
      </xdr:nvCxnSpPr>
      <xdr:spPr>
        <a:xfrm>
          <a:off x="2847975" y="15001875"/>
          <a:ext cx="1562100" cy="295943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94</xdr:row>
      <xdr:rowOff>142875</xdr:rowOff>
    </xdr:from>
    <xdr:to>
      <xdr:col>5</xdr:col>
      <xdr:colOff>209550</xdr:colOff>
      <xdr:row>95</xdr:row>
      <xdr:rowOff>76200</xdr:rowOff>
    </xdr:to>
    <xdr:cxnSp macro="">
      <xdr:nvCxnSpPr>
        <xdr:cNvPr id="27" name="Straight Connector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CxnSpPr/>
      </xdr:nvCxnSpPr>
      <xdr:spPr>
        <a:xfrm>
          <a:off x="3171825" y="14458950"/>
          <a:ext cx="1123950" cy="1238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247650</xdr:colOff>
      <xdr:row>94</xdr:row>
      <xdr:rowOff>85725</xdr:rowOff>
    </xdr:from>
    <xdr:to>
      <xdr:col>2</xdr:col>
      <xdr:colOff>247651</xdr:colOff>
      <xdr:row>105</xdr:row>
      <xdr:rowOff>104774</xdr:rowOff>
    </xdr:to>
    <xdr:cxnSp macro="">
      <xdr:nvCxnSpPr>
        <xdr:cNvPr id="30" name="Straight Connector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CxnSpPr/>
      </xdr:nvCxnSpPr>
      <xdr:spPr>
        <a:xfrm>
          <a:off x="1981200" y="14401800"/>
          <a:ext cx="1" cy="2133599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457200</xdr:colOff>
      <xdr:row>120</xdr:row>
      <xdr:rowOff>171450</xdr:rowOff>
    </xdr:from>
    <xdr:to>
      <xdr:col>4</xdr:col>
      <xdr:colOff>542925</xdr:colOff>
      <xdr:row>121</xdr:row>
      <xdr:rowOff>114300</xdr:rowOff>
    </xdr:to>
    <xdr:cxnSp macro="">
      <xdr:nvCxnSpPr>
        <xdr:cNvPr id="39" name="Straight Connector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CxnSpPr/>
      </xdr:nvCxnSpPr>
      <xdr:spPr>
        <a:xfrm flipV="1">
          <a:off x="2952750" y="21955125"/>
          <a:ext cx="1066800" cy="13335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123</xdr:row>
      <xdr:rowOff>104775</xdr:rowOff>
    </xdr:from>
    <xdr:to>
      <xdr:col>4</xdr:col>
      <xdr:colOff>542925</xdr:colOff>
      <xdr:row>124</xdr:row>
      <xdr:rowOff>57150</xdr:rowOff>
    </xdr:to>
    <xdr:cxnSp macro="">
      <xdr:nvCxnSpPr>
        <xdr:cNvPr id="41" name="Straight Connector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CxnSpPr/>
      </xdr:nvCxnSpPr>
      <xdr:spPr>
        <a:xfrm>
          <a:off x="2752725" y="22459950"/>
          <a:ext cx="1266825" cy="1428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590552</xdr:colOff>
      <xdr:row>127</xdr:row>
      <xdr:rowOff>123826</xdr:rowOff>
    </xdr:from>
    <xdr:to>
      <xdr:col>4</xdr:col>
      <xdr:colOff>571500</xdr:colOff>
      <xdr:row>128</xdr:row>
      <xdr:rowOff>133350</xdr:rowOff>
    </xdr:to>
    <xdr:cxnSp macro="">
      <xdr:nvCxnSpPr>
        <xdr:cNvPr id="50" name="Straight Connector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CxnSpPr/>
      </xdr:nvCxnSpPr>
      <xdr:spPr>
        <a:xfrm>
          <a:off x="3086102" y="29356051"/>
          <a:ext cx="962023" cy="200024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323853</xdr:colOff>
      <xdr:row>129</xdr:row>
      <xdr:rowOff>95254</xdr:rowOff>
    </xdr:from>
    <xdr:to>
      <xdr:col>4</xdr:col>
      <xdr:colOff>581025</xdr:colOff>
      <xdr:row>130</xdr:row>
      <xdr:rowOff>180975</xdr:rowOff>
    </xdr:to>
    <xdr:cxnSp macro="">
      <xdr:nvCxnSpPr>
        <xdr:cNvPr id="52" name="Straight Connector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CxnSpPr/>
      </xdr:nvCxnSpPr>
      <xdr:spPr>
        <a:xfrm>
          <a:off x="2819403" y="29708479"/>
          <a:ext cx="1238247" cy="276221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581027</xdr:colOff>
      <xdr:row>132</xdr:row>
      <xdr:rowOff>104777</xdr:rowOff>
    </xdr:from>
    <xdr:to>
      <xdr:col>4</xdr:col>
      <xdr:colOff>600075</xdr:colOff>
      <xdr:row>133</xdr:row>
      <xdr:rowOff>38100</xdr:rowOff>
    </xdr:to>
    <xdr:cxnSp macro="">
      <xdr:nvCxnSpPr>
        <xdr:cNvPr id="54" name="Straight Connector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CxnSpPr/>
      </xdr:nvCxnSpPr>
      <xdr:spPr>
        <a:xfrm>
          <a:off x="3076577" y="30289502"/>
          <a:ext cx="1000123" cy="123823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257175</xdr:colOff>
          <xdr:row>93</xdr:row>
          <xdr:rowOff>114300</xdr:rowOff>
        </xdr:from>
        <xdr:to>
          <xdr:col>7</xdr:col>
          <xdr:colOff>285750</xdr:colOff>
          <xdr:row>97</xdr:row>
          <xdr:rowOff>66675</xdr:rowOff>
        </xdr:to>
        <xdr:sp macro="" textlink="">
          <xdr:nvSpPr>
            <xdr:cNvPr id="1035" name="Object 9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342900</xdr:colOff>
          <xdr:row>83</xdr:row>
          <xdr:rowOff>142875</xdr:rowOff>
        </xdr:from>
        <xdr:to>
          <xdr:col>7</xdr:col>
          <xdr:colOff>209550</xdr:colOff>
          <xdr:row>85</xdr:row>
          <xdr:rowOff>47625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304800</xdr:colOff>
          <xdr:row>71</xdr:row>
          <xdr:rowOff>180975</xdr:rowOff>
        </xdr:from>
        <xdr:to>
          <xdr:col>8</xdr:col>
          <xdr:colOff>390525</xdr:colOff>
          <xdr:row>75</xdr:row>
          <xdr:rowOff>38100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333375</xdr:colOff>
          <xdr:row>81</xdr:row>
          <xdr:rowOff>171450</xdr:rowOff>
        </xdr:from>
        <xdr:to>
          <xdr:col>7</xdr:col>
          <xdr:colOff>85725</xdr:colOff>
          <xdr:row>83</xdr:row>
          <xdr:rowOff>76200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600075</xdr:colOff>
          <xdr:row>130</xdr:row>
          <xdr:rowOff>19050</xdr:rowOff>
        </xdr:from>
        <xdr:to>
          <xdr:col>6</xdr:col>
          <xdr:colOff>352425</xdr:colOff>
          <xdr:row>131</xdr:row>
          <xdr:rowOff>114300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9525</xdr:colOff>
          <xdr:row>132</xdr:row>
          <xdr:rowOff>57150</xdr:rowOff>
        </xdr:from>
        <xdr:to>
          <xdr:col>7</xdr:col>
          <xdr:colOff>38100</xdr:colOff>
          <xdr:row>136</xdr:row>
          <xdr:rowOff>9525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5</xdr:col>
      <xdr:colOff>323850</xdr:colOff>
      <xdr:row>78</xdr:row>
      <xdr:rowOff>85725</xdr:rowOff>
    </xdr:from>
    <xdr:to>
      <xdr:col>6</xdr:col>
      <xdr:colOff>605584</xdr:colOff>
      <xdr:row>81</xdr:row>
      <xdr:rowOff>125161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Object 17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4410075" y="14992350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𝑉</m:t>
                        </m:r>
                      </m:num>
                      <m:den>
                        <m:r>
                          <a:rPr lang="en-US" sz="18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" name="Object 17">
              <a:extLst>
                <a:ext uri="{63B3BB69-23CF-44E3-9099-C40C66FF867C}">
                  <a14:compatExt xmlns:a14="http://schemas.microsoft.com/office/drawing/2010/main" spid="_x0000_s1041"/>
                </a:ex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4410075" y="14992350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𝑀=𝑉/</a:t>
              </a:r>
              <a:r>
                <a:rPr lang="en-US" sz="18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𝑐</a:t>
              </a:r>
              <a:endParaRPr lang="en-US" sz="1800"/>
            </a:p>
          </xdr:txBody>
        </xdr:sp>
      </mc:Fallback>
    </mc:AlternateContent>
    <xdr:clientData/>
  </xdr:twoCellAnchor>
  <xdr:twoCellAnchor>
    <xdr:from>
      <xdr:col>5</xdr:col>
      <xdr:colOff>9525</xdr:colOff>
      <xdr:row>136</xdr:row>
      <xdr:rowOff>142875</xdr:rowOff>
    </xdr:from>
    <xdr:to>
      <xdr:col>6</xdr:col>
      <xdr:colOff>291259</xdr:colOff>
      <xdr:row>139</xdr:row>
      <xdr:rowOff>182311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Object 38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 txBox="1"/>
          </xdr:nvSpPr>
          <xdr:spPr>
            <a:xfrm>
              <a:off x="4095750" y="31089600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5" name="Object 38">
              <a:extLst>
                <a:ext uri="{63B3BB69-23CF-44E3-9099-C40C66FF867C}">
                  <a14:compatExt xmlns:a14="http://schemas.microsoft.com/office/drawing/2010/main" spid="_x0000_s1062"/>
                </a:ex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4095750" y="31089600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𝑀=𝑉/𝑐</a:t>
              </a:r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Fallback>
    </mc:AlternateContent>
    <xdr:clientData/>
  </xdr:twoCellAnchor>
  <xdr:twoCellAnchor editAs="oneCell">
    <xdr:from>
      <xdr:col>0</xdr:col>
      <xdr:colOff>357245</xdr:colOff>
      <xdr:row>25</xdr:row>
      <xdr:rowOff>161830</xdr:rowOff>
    </xdr:from>
    <xdr:to>
      <xdr:col>5</xdr:col>
      <xdr:colOff>99459</xdr:colOff>
      <xdr:row>33</xdr:row>
      <xdr:rowOff>171351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57245" y="4943380"/>
          <a:ext cx="3828439" cy="1533521"/>
        </a:xfrm>
        <a:prstGeom prst="rect">
          <a:avLst/>
        </a:prstGeom>
        <a:noFill/>
        <a:ln w="25400">
          <a:solidFill>
            <a:srgbClr val="FF0000"/>
          </a:solidFill>
        </a:ln>
      </xdr:spPr>
    </xdr:pic>
    <xdr:clientData/>
  </xdr:twoCellAnchor>
  <xdr:twoCellAnchor>
    <xdr:from>
      <xdr:col>3</xdr:col>
      <xdr:colOff>276225</xdr:colOff>
      <xdr:row>134</xdr:row>
      <xdr:rowOff>161925</xdr:rowOff>
    </xdr:from>
    <xdr:to>
      <xdr:col>5</xdr:col>
      <xdr:colOff>9525</xdr:colOff>
      <xdr:row>138</xdr:row>
      <xdr:rowOff>67343</xdr:rowOff>
    </xdr:to>
    <xdr:cxnSp macro="">
      <xdr:nvCxnSpPr>
        <xdr:cNvPr id="34" name="Straight Connector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CxnSpPr>
          <a:endCxn id="5" idx="1"/>
        </xdr:cNvCxnSpPr>
      </xdr:nvCxnSpPr>
      <xdr:spPr>
        <a:xfrm>
          <a:off x="2771775" y="30727650"/>
          <a:ext cx="1323975" cy="667418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19050</xdr:colOff>
      <xdr:row>57</xdr:row>
      <xdr:rowOff>180975</xdr:rowOff>
    </xdr:from>
    <xdr:to>
      <xdr:col>4</xdr:col>
      <xdr:colOff>571500</xdr:colOff>
      <xdr:row>58</xdr:row>
      <xdr:rowOff>152400</xdr:rowOff>
    </xdr:to>
    <xdr:cxnSp macro="">
      <xdr:nvCxnSpPr>
        <xdr:cNvPr id="37" name="Straight Connector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CxnSpPr/>
      </xdr:nvCxnSpPr>
      <xdr:spPr>
        <a:xfrm>
          <a:off x="2514600" y="14706600"/>
          <a:ext cx="1533525" cy="1619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257175</xdr:colOff>
      <xdr:row>60</xdr:row>
      <xdr:rowOff>114300</xdr:rowOff>
    </xdr:from>
    <xdr:to>
      <xdr:col>4</xdr:col>
      <xdr:colOff>523624</xdr:colOff>
      <xdr:row>67</xdr:row>
      <xdr:rowOff>171276</xdr:rowOff>
    </xdr:to>
    <xdr:pic>
      <xdr:nvPicPr>
        <xdr:cNvPr id="40" name="Picture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90725" y="11591925"/>
          <a:ext cx="2009524" cy="1390476"/>
        </a:xfrm>
        <a:prstGeom prst="rect">
          <a:avLst/>
        </a:prstGeom>
      </xdr:spPr>
    </xdr:pic>
    <xdr:clientData/>
  </xdr:twoCellAnchor>
  <xdr:twoCellAnchor>
    <xdr:from>
      <xdr:col>5</xdr:col>
      <xdr:colOff>304800</xdr:colOff>
      <xdr:row>75</xdr:row>
      <xdr:rowOff>152400</xdr:rowOff>
    </xdr:from>
    <xdr:to>
      <xdr:col>7</xdr:col>
      <xdr:colOff>454244</xdr:colOff>
      <xdr:row>78</xdr:row>
      <xdr:rowOff>28575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7" name="Object 63">
              <a:extLst>
                <a:ext uri="{FF2B5EF4-FFF2-40B4-BE49-F238E27FC236}">
                  <a16:creationId xmlns:a16="http://schemas.microsoft.com/office/drawing/2014/main" id="{00000000-0008-0000-0000-000039000000}"/>
                </a:ext>
              </a:extLst>
            </xdr:cNvPr>
            <xdr:cNvSpPr txBox="1"/>
          </xdr:nvSpPr>
          <xdr:spPr>
            <a:xfrm>
              <a:off x="4391025" y="14487525"/>
              <a:ext cx="1368644" cy="447675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noAutofit/>
            </a:bodyPr>
            <a:lstStyle/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𝑐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ad>
                      <m:radPr>
                        <m:degHide m:val="on"/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radPr>
                      <m:deg/>
                      <m:e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𝛾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𝑍𝑅𝑇</m:t>
                        </m:r>
                      </m:e>
                    </m:rad>
                  </m:oMath>
                </m:oMathPara>
              </a14:m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57" name="Object 63">
              <a:extLst>
                <a:ext uri="{FF2B5EF4-FFF2-40B4-BE49-F238E27FC236}">
                  <a16:creationId xmlns:a16="http://schemas.microsoft.com/office/drawing/2014/main" id="{47EAC88D-2F59-23DD-3787-149E7E64DF3F}"/>
                </a:ext>
              </a:extLst>
            </xdr:cNvPr>
            <xdr:cNvSpPr txBox="1"/>
          </xdr:nvSpPr>
          <xdr:spPr>
            <a:xfrm>
              <a:off x="4391025" y="14487525"/>
              <a:ext cx="1368644" cy="447675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noAutofit/>
            </a:bodyPr>
            <a:lstStyle/>
            <a:p>
              <a:pPr marL="0" indent="0"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𝑐=√𝛾𝑍𝑅𝑇</a:t>
              </a:r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Fallback>
    </mc:AlternateContent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323850</xdr:colOff>
          <xdr:row>86</xdr:row>
          <xdr:rowOff>114300</xdr:rowOff>
        </xdr:from>
        <xdr:to>
          <xdr:col>9</xdr:col>
          <xdr:colOff>561975</xdr:colOff>
          <xdr:row>91</xdr:row>
          <xdr:rowOff>38100</xdr:rowOff>
        </xdr:to>
        <xdr:sp macro="" textlink="">
          <xdr:nvSpPr>
            <xdr:cNvPr id="1090" name="Object 5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</xdr:col>
      <xdr:colOff>381000</xdr:colOff>
      <xdr:row>87</xdr:row>
      <xdr:rowOff>104775</xdr:rowOff>
    </xdr:from>
    <xdr:to>
      <xdr:col>5</xdr:col>
      <xdr:colOff>323850</xdr:colOff>
      <xdr:row>88</xdr:row>
      <xdr:rowOff>171450</xdr:rowOff>
    </xdr:to>
    <xdr:cxnSp macro="">
      <xdr:nvCxnSpPr>
        <xdr:cNvPr id="1024" name="Straight Connector 1023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CxnSpPr/>
      </xdr:nvCxnSpPr>
      <xdr:spPr>
        <a:xfrm>
          <a:off x="2876550" y="16725900"/>
          <a:ext cx="1533525" cy="2571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428625</xdr:colOff>
      <xdr:row>112</xdr:row>
      <xdr:rowOff>180975</xdr:rowOff>
    </xdr:from>
    <xdr:to>
      <xdr:col>4</xdr:col>
      <xdr:colOff>428625</xdr:colOff>
      <xdr:row>113</xdr:row>
      <xdr:rowOff>133350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V="1">
          <a:off x="2924175" y="21583650"/>
          <a:ext cx="981075" cy="1428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514350</xdr:colOff>
          <xdr:row>111</xdr:row>
          <xdr:rowOff>142875</xdr:rowOff>
        </xdr:from>
        <xdr:to>
          <xdr:col>15</xdr:col>
          <xdr:colOff>57150</xdr:colOff>
          <xdr:row>115</xdr:row>
          <xdr:rowOff>123825</xdr:rowOff>
        </xdr:to>
        <xdr:sp macro="" textlink="">
          <xdr:nvSpPr>
            <xdr:cNvPr id="1094" name="Object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image" Target="../media/image7.emf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1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oleObject" Target="../embeddings/oleObject8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10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image" Target="../media/image9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oleObject" Target="../embeddings/oleObject12.bin"/><Relationship Id="rId10" Type="http://schemas.openxmlformats.org/officeDocument/2006/relationships/oleObject" Target="../embeddings/oleObject4.bin"/><Relationship Id="rId19" Type="http://schemas.openxmlformats.org/officeDocument/2006/relationships/oleObject" Target="../embeddings/oleObject9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image" Target="../media/image8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42"/>
  <sheetViews>
    <sheetView tabSelected="1" workbookViewId="0">
      <selection activeCell="I3" sqref="I3"/>
    </sheetView>
  </sheetViews>
  <sheetFormatPr defaultRowHeight="15" x14ac:dyDescent="0.25"/>
  <cols>
    <col min="2" max="2" width="16.85546875" customWidth="1"/>
    <col min="3" max="3" width="11.42578125" customWidth="1"/>
    <col min="4" max="4" width="14.7109375" customWidth="1"/>
    <col min="10" max="10" width="9.140625" customWidth="1"/>
  </cols>
  <sheetData>
    <row r="1" spans="2:7" ht="15.75" thickBot="1" x14ac:dyDescent="0.3"/>
    <row r="2" spans="2:7" x14ac:dyDescent="0.25">
      <c r="B2" s="13" t="s">
        <v>79</v>
      </c>
      <c r="C2" s="23"/>
      <c r="D2" s="1"/>
      <c r="E2" s="1"/>
      <c r="F2" s="1"/>
      <c r="G2" s="2"/>
    </row>
    <row r="3" spans="2:7" x14ac:dyDescent="0.25">
      <c r="B3" s="3" t="s">
        <v>3</v>
      </c>
      <c r="C3" s="10">
        <v>53.353000000000002</v>
      </c>
      <c r="D3" t="s">
        <v>4</v>
      </c>
      <c r="E3" t="s">
        <v>54</v>
      </c>
      <c r="G3" s="4"/>
    </row>
    <row r="4" spans="2:7" x14ac:dyDescent="0.25">
      <c r="B4" s="24" t="s">
        <v>3</v>
      </c>
      <c r="C4" s="5">
        <f>Rg*2.20462*1.8/737.562</f>
        <v>0.2870559540052226</v>
      </c>
      <c r="D4" t="s">
        <v>55</v>
      </c>
      <c r="G4" s="4"/>
    </row>
    <row r="5" spans="2:7" x14ac:dyDescent="0.25">
      <c r="B5" s="3" t="s">
        <v>5</v>
      </c>
      <c r="C5">
        <v>1.4</v>
      </c>
      <c r="D5" s="12" t="s">
        <v>6</v>
      </c>
      <c r="E5" t="s">
        <v>7</v>
      </c>
      <c r="G5" s="4"/>
    </row>
    <row r="6" spans="2:7" x14ac:dyDescent="0.25">
      <c r="B6" s="3" t="s">
        <v>57</v>
      </c>
      <c r="C6">
        <v>32.173999999999999</v>
      </c>
      <c r="D6" t="s">
        <v>8</v>
      </c>
      <c r="E6" t="s">
        <v>61</v>
      </c>
      <c r="G6" s="4"/>
    </row>
    <row r="7" spans="2:7" x14ac:dyDescent="0.25">
      <c r="B7" s="24" t="s">
        <v>57</v>
      </c>
      <c r="C7">
        <v>1</v>
      </c>
      <c r="D7" t="s">
        <v>76</v>
      </c>
      <c r="G7" s="4"/>
    </row>
    <row r="8" spans="2:7" x14ac:dyDescent="0.25">
      <c r="B8" s="3" t="s">
        <v>29</v>
      </c>
      <c r="C8">
        <v>459.67</v>
      </c>
      <c r="D8" t="s">
        <v>26</v>
      </c>
      <c r="E8" t="s">
        <v>27</v>
      </c>
      <c r="G8" s="4"/>
    </row>
    <row r="9" spans="2:7" x14ac:dyDescent="0.25">
      <c r="B9" s="24" t="s">
        <v>29</v>
      </c>
      <c r="C9">
        <v>273.14999999999998</v>
      </c>
      <c r="D9" t="s">
        <v>77</v>
      </c>
      <c r="E9" t="s">
        <v>58</v>
      </c>
      <c r="G9" s="4"/>
    </row>
    <row r="10" spans="2:7" x14ac:dyDescent="0.25">
      <c r="B10" s="3" t="s">
        <v>59</v>
      </c>
      <c r="C10">
        <v>778.17</v>
      </c>
      <c r="D10" t="s">
        <v>30</v>
      </c>
      <c r="E10" t="s">
        <v>60</v>
      </c>
      <c r="G10" s="4"/>
    </row>
    <row r="11" spans="2:7" x14ac:dyDescent="0.25">
      <c r="B11" s="3" t="s">
        <v>68</v>
      </c>
      <c r="C11">
        <v>0.245</v>
      </c>
      <c r="D11" t="s">
        <v>69</v>
      </c>
      <c r="E11" t="s">
        <v>70</v>
      </c>
      <c r="G11" s="4"/>
    </row>
    <row r="12" spans="2:7" x14ac:dyDescent="0.25">
      <c r="B12" s="24" t="s">
        <v>68</v>
      </c>
      <c r="C12" s="10">
        <f>cp*4.18396</f>
        <v>1.0250702</v>
      </c>
      <c r="D12" t="s">
        <v>55</v>
      </c>
      <c r="G12" s="4"/>
    </row>
    <row r="13" spans="2:7" x14ac:dyDescent="0.25">
      <c r="B13" s="3"/>
      <c r="G13" s="4"/>
    </row>
    <row r="14" spans="2:7" x14ac:dyDescent="0.25">
      <c r="B14" s="22" t="s">
        <v>78</v>
      </c>
      <c r="C14" s="20"/>
      <c r="G14" s="4"/>
    </row>
    <row r="15" spans="2:7" x14ac:dyDescent="0.25">
      <c r="B15" s="3" t="s">
        <v>32</v>
      </c>
      <c r="C15">
        <v>25</v>
      </c>
      <c r="D15" t="s">
        <v>15</v>
      </c>
      <c r="E15" t="s">
        <v>33</v>
      </c>
      <c r="G15" s="4"/>
    </row>
    <row r="16" spans="2:7" x14ac:dyDescent="0.25">
      <c r="B16" s="24" t="s">
        <v>32</v>
      </c>
      <c r="C16" s="11">
        <f>L/3.28084</f>
        <v>7.6199997561600075</v>
      </c>
      <c r="D16" t="s">
        <v>56</v>
      </c>
      <c r="G16" s="4"/>
    </row>
    <row r="17" spans="2:7" x14ac:dyDescent="0.25">
      <c r="B17" s="3" t="s">
        <v>12</v>
      </c>
      <c r="C17">
        <v>3</v>
      </c>
      <c r="D17" t="s">
        <v>13</v>
      </c>
      <c r="E17" t="s">
        <v>14</v>
      </c>
      <c r="G17" s="4"/>
    </row>
    <row r="18" spans="2:7" x14ac:dyDescent="0.25">
      <c r="B18" s="24" t="s">
        <v>12</v>
      </c>
      <c r="C18">
        <f>C17*2.54</f>
        <v>7.62</v>
      </c>
      <c r="D18" t="s">
        <v>62</v>
      </c>
      <c r="G18" s="4"/>
    </row>
    <row r="19" spans="2:7" x14ac:dyDescent="0.25">
      <c r="B19" s="3" t="s">
        <v>12</v>
      </c>
      <c r="C19" s="10">
        <f>C17/12</f>
        <v>0.25</v>
      </c>
      <c r="D19" t="s">
        <v>15</v>
      </c>
      <c r="E19" t="s">
        <v>14</v>
      </c>
      <c r="G19" s="4"/>
    </row>
    <row r="20" spans="2:7" x14ac:dyDescent="0.25">
      <c r="B20" s="24" t="s">
        <v>12</v>
      </c>
      <c r="C20" s="9">
        <f>D/3.28</f>
        <v>7.621951219512195E-2</v>
      </c>
      <c r="D20" t="s">
        <v>56</v>
      </c>
      <c r="G20" s="4"/>
    </row>
    <row r="21" spans="2:7" x14ac:dyDescent="0.25">
      <c r="B21" s="3" t="s">
        <v>16</v>
      </c>
      <c r="C21" s="10">
        <f>PI()/4*C17^2</f>
        <v>7.0685834705770345</v>
      </c>
      <c r="D21" t="s">
        <v>18</v>
      </c>
      <c r="E21" t="s">
        <v>17</v>
      </c>
      <c r="G21" s="4"/>
    </row>
    <row r="22" spans="2:7" x14ac:dyDescent="0.25">
      <c r="B22" s="24" t="s">
        <v>16</v>
      </c>
      <c r="C22" s="10">
        <f>PI()/4*C18^2</f>
        <v>45.603673118774793</v>
      </c>
      <c r="D22" t="s">
        <v>63</v>
      </c>
      <c r="G22" s="4"/>
    </row>
    <row r="23" spans="2:7" x14ac:dyDescent="0.25">
      <c r="B23" s="3" t="s">
        <v>16</v>
      </c>
      <c r="C23" s="9">
        <f>C21/144</f>
        <v>4.9087385212340517E-2</v>
      </c>
      <c r="D23" t="s">
        <v>19</v>
      </c>
      <c r="E23" t="s">
        <v>17</v>
      </c>
      <c r="G23" s="4"/>
    </row>
    <row r="24" spans="2:7" x14ac:dyDescent="0.25">
      <c r="B24" s="24" t="s">
        <v>16</v>
      </c>
      <c r="C24" s="5">
        <f>PI()/4*C20^2</f>
        <v>4.5627031168519964E-3</v>
      </c>
      <c r="D24" t="s">
        <v>64</v>
      </c>
      <c r="G24" s="4"/>
    </row>
    <row r="25" spans="2:7" ht="15.75" thickBot="1" x14ac:dyDescent="0.3">
      <c r="B25" s="6" t="s">
        <v>34</v>
      </c>
      <c r="C25" s="7">
        <v>1.7000000000000001E-2</v>
      </c>
      <c r="D25" s="16" t="s">
        <v>6</v>
      </c>
      <c r="E25" s="7" t="s">
        <v>85</v>
      </c>
      <c r="F25" s="7"/>
      <c r="G25" s="8"/>
    </row>
    <row r="35" spans="2:16" ht="15.75" thickBot="1" x14ac:dyDescent="0.3"/>
    <row r="36" spans="2:16" x14ac:dyDescent="0.25">
      <c r="B36" s="13" t="s">
        <v>0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2"/>
    </row>
    <row r="37" spans="2:16" x14ac:dyDescent="0.25">
      <c r="B37" s="27" t="s">
        <v>9</v>
      </c>
      <c r="C37" s="28">
        <v>14.738542702209223</v>
      </c>
      <c r="D37" t="s">
        <v>11</v>
      </c>
      <c r="E37" t="s">
        <v>10</v>
      </c>
      <c r="I37" s="11"/>
      <c r="P37" s="4"/>
    </row>
    <row r="38" spans="2:16" x14ac:dyDescent="0.25">
      <c r="B38" s="24" t="s">
        <v>9</v>
      </c>
      <c r="C38" s="11">
        <f>mdot*0.45359</f>
        <v>6.6852555842950814</v>
      </c>
      <c r="D38" t="s">
        <v>67</v>
      </c>
      <c r="P38" s="4"/>
    </row>
    <row r="39" spans="2:16" x14ac:dyDescent="0.25">
      <c r="B39" s="3" t="s">
        <v>37</v>
      </c>
      <c r="C39" s="15">
        <v>200</v>
      </c>
      <c r="D39" t="s">
        <v>2</v>
      </c>
      <c r="P39" s="4"/>
    </row>
    <row r="40" spans="2:16" x14ac:dyDescent="0.25">
      <c r="B40" s="24" t="s">
        <v>37</v>
      </c>
      <c r="C40" s="21">
        <f>(C39+459.67)/1.8-273.15</f>
        <v>93.333333333333371</v>
      </c>
      <c r="D40" t="s">
        <v>80</v>
      </c>
      <c r="P40" s="4"/>
    </row>
    <row r="41" spans="2:16" x14ac:dyDescent="0.25">
      <c r="B41" s="3" t="s">
        <v>37</v>
      </c>
      <c r="C41">
        <f>C39+C8</f>
        <v>659.67000000000007</v>
      </c>
      <c r="D41" t="s">
        <v>20</v>
      </c>
      <c r="E41" t="s">
        <v>21</v>
      </c>
      <c r="P41" s="4"/>
    </row>
    <row r="42" spans="2:16" x14ac:dyDescent="0.25">
      <c r="B42" s="3" t="s">
        <v>22</v>
      </c>
      <c r="C42" s="15">
        <v>1</v>
      </c>
      <c r="D42" t="s">
        <v>75</v>
      </c>
      <c r="P42" s="4"/>
    </row>
    <row r="43" spans="2:16" x14ac:dyDescent="0.25">
      <c r="B43" s="3"/>
      <c r="P43" s="4"/>
    </row>
    <row r="44" spans="2:16" x14ac:dyDescent="0.25">
      <c r="B44" s="22" t="s">
        <v>23</v>
      </c>
      <c r="P44" s="4"/>
    </row>
    <row r="45" spans="2:16" x14ac:dyDescent="0.25">
      <c r="B45" s="3" t="s">
        <v>36</v>
      </c>
      <c r="C45" s="14">
        <v>1</v>
      </c>
      <c r="P45" s="4"/>
    </row>
    <row r="46" spans="2:16" x14ac:dyDescent="0.25">
      <c r="B46" s="3"/>
      <c r="P46" s="4"/>
    </row>
    <row r="47" spans="2:16" x14ac:dyDescent="0.25">
      <c r="B47" s="3"/>
      <c r="P47" s="4"/>
    </row>
    <row r="48" spans="2:16" x14ac:dyDescent="0.25">
      <c r="B48" s="3"/>
      <c r="P48" s="4"/>
    </row>
    <row r="49" spans="2:16" x14ac:dyDescent="0.25">
      <c r="B49" s="31" t="s">
        <v>93</v>
      </c>
      <c r="P49" s="4"/>
    </row>
    <row r="50" spans="2:16" x14ac:dyDescent="0.25">
      <c r="B50" s="3"/>
      <c r="P50" s="4"/>
    </row>
    <row r="51" spans="2:16" x14ac:dyDescent="0.25">
      <c r="B51" s="3"/>
      <c r="P51" s="4"/>
    </row>
    <row r="52" spans="2:16" x14ac:dyDescent="0.25">
      <c r="B52" s="3" t="s">
        <v>38</v>
      </c>
      <c r="C52" s="14">
        <v>0.43927482794292305</v>
      </c>
      <c r="D52" s="15" t="s">
        <v>71</v>
      </c>
      <c r="E52" s="15"/>
      <c r="P52" s="4"/>
    </row>
    <row r="53" spans="2:16" ht="15.75" thickBot="1" x14ac:dyDescent="0.3">
      <c r="B53" s="3"/>
      <c r="P53" s="4"/>
    </row>
    <row r="54" spans="2:16" ht="15.75" thickBot="1" x14ac:dyDescent="0.3">
      <c r="B54" s="3"/>
      <c r="E54" s="29" t="s">
        <v>88</v>
      </c>
      <c r="F54" s="30"/>
      <c r="P54" s="4"/>
    </row>
    <row r="55" spans="2:16" x14ac:dyDescent="0.25">
      <c r="B55" s="3"/>
      <c r="P55" s="4"/>
    </row>
    <row r="56" spans="2:16" x14ac:dyDescent="0.25">
      <c r="B56" s="3" t="s">
        <v>35</v>
      </c>
      <c r="C56" s="18">
        <f>f*L/D</f>
        <v>1.7000000000000002</v>
      </c>
      <c r="D56" t="s">
        <v>86</v>
      </c>
      <c r="P56" s="4"/>
    </row>
    <row r="57" spans="2:16" x14ac:dyDescent="0.25">
      <c r="B57" s="26" t="s">
        <v>89</v>
      </c>
      <c r="P57" s="4"/>
    </row>
    <row r="58" spans="2:16" x14ac:dyDescent="0.25">
      <c r="B58" s="3" t="s">
        <v>90</v>
      </c>
      <c r="C58" s="18">
        <f>1/Gam*(1/M_1^2-1/M_2^2)+(Gam+1)/2/Gam*LN((M_1^2/M_2^2)*(1+M_2^2*(Gam-1)/2)/(1+M_1^2*(Gam-1)/2))</f>
        <v>1.7009939739775546</v>
      </c>
      <c r="D58" t="s">
        <v>91</v>
      </c>
      <c r="P58" s="4"/>
    </row>
    <row r="59" spans="2:16" x14ac:dyDescent="0.25">
      <c r="B59" s="26"/>
      <c r="C59" s="25"/>
      <c r="D59" s="25"/>
      <c r="P59" s="4"/>
    </row>
    <row r="60" spans="2:16" x14ac:dyDescent="0.25">
      <c r="B60" s="26" t="s">
        <v>92</v>
      </c>
      <c r="C60" s="32">
        <f>C56-C58</f>
        <v>-9.9397397755440764E-4</v>
      </c>
      <c r="D60" s="25" t="s">
        <v>72</v>
      </c>
      <c r="P60" s="4"/>
    </row>
    <row r="61" spans="2:16" x14ac:dyDescent="0.25">
      <c r="B61" s="3"/>
      <c r="P61" s="4"/>
    </row>
    <row r="62" spans="2:16" x14ac:dyDescent="0.25">
      <c r="B62" s="3"/>
      <c r="P62" s="4"/>
    </row>
    <row r="63" spans="2:16" x14ac:dyDescent="0.25">
      <c r="B63" s="3"/>
      <c r="P63" s="4"/>
    </row>
    <row r="64" spans="2:16" x14ac:dyDescent="0.25">
      <c r="B64" s="3"/>
      <c r="P64" s="4"/>
    </row>
    <row r="65" spans="2:16" x14ac:dyDescent="0.25">
      <c r="B65" s="3"/>
      <c r="P65" s="4"/>
    </row>
    <row r="66" spans="2:16" x14ac:dyDescent="0.25">
      <c r="B66" s="3"/>
      <c r="P66" s="4"/>
    </row>
    <row r="67" spans="2:16" x14ac:dyDescent="0.25">
      <c r="B67" s="3"/>
      <c r="P67" s="4"/>
    </row>
    <row r="68" spans="2:16" x14ac:dyDescent="0.25">
      <c r="B68" s="3"/>
      <c r="P68" s="4"/>
    </row>
    <row r="69" spans="2:16" x14ac:dyDescent="0.25">
      <c r="B69" s="3"/>
      <c r="P69" s="4"/>
    </row>
    <row r="70" spans="2:16" x14ac:dyDescent="0.25">
      <c r="B70" s="3"/>
      <c r="P70" s="4"/>
    </row>
    <row r="71" spans="2:16" x14ac:dyDescent="0.25">
      <c r="B71" s="31" t="s">
        <v>94</v>
      </c>
      <c r="P71" s="4"/>
    </row>
    <row r="72" spans="2:16" x14ac:dyDescent="0.25">
      <c r="B72" s="3"/>
      <c r="P72" s="4"/>
    </row>
    <row r="73" spans="2:16" x14ac:dyDescent="0.25">
      <c r="B73" s="3" t="s">
        <v>40</v>
      </c>
      <c r="C73" s="10">
        <f>To_1/(1+M_1^2*(Gam-1)/2)</f>
        <v>635.15769269178725</v>
      </c>
      <c r="D73" t="s">
        <v>20</v>
      </c>
      <c r="P73" s="4"/>
    </row>
    <row r="74" spans="2:16" x14ac:dyDescent="0.25">
      <c r="B74" s="3" t="s">
        <v>40</v>
      </c>
      <c r="C74" s="10">
        <f>C73-C8</f>
        <v>175.48769269178723</v>
      </c>
      <c r="D74" t="s">
        <v>2</v>
      </c>
      <c r="P74" s="4"/>
    </row>
    <row r="75" spans="2:16" x14ac:dyDescent="0.25">
      <c r="B75" s="24" t="str">
        <f>B74</f>
        <v>T1</v>
      </c>
      <c r="C75" s="21">
        <f>(C74+459.67)/1.8-273.15</f>
        <v>79.715384828770709</v>
      </c>
      <c r="D75" t="s">
        <v>80</v>
      </c>
      <c r="P75" s="4"/>
    </row>
    <row r="76" spans="2:16" x14ac:dyDescent="0.25">
      <c r="B76" s="3"/>
      <c r="P76" s="4"/>
    </row>
    <row r="77" spans="2:16" x14ac:dyDescent="0.25">
      <c r="B77" s="3" t="s">
        <v>73</v>
      </c>
      <c r="C77" s="11">
        <f>(Gam*Z*Rg*T_1*gc)^0.5</f>
        <v>1235.4829318932782</v>
      </c>
      <c r="D77" t="s">
        <v>31</v>
      </c>
      <c r="P77" s="4"/>
    </row>
    <row r="78" spans="2:16" x14ac:dyDescent="0.25">
      <c r="B78" s="24" t="str">
        <f>B77</f>
        <v>c1</v>
      </c>
      <c r="C78" s="21">
        <f>c_1/3.28</f>
        <v>376.671625577219</v>
      </c>
      <c r="D78" t="s">
        <v>83</v>
      </c>
      <c r="P78" s="4"/>
    </row>
    <row r="79" spans="2:16" x14ac:dyDescent="0.25">
      <c r="B79" s="3" t="s">
        <v>42</v>
      </c>
      <c r="C79" s="11">
        <f>M_1*c_1</f>
        <v>542.71655233383785</v>
      </c>
      <c r="D79" t="s">
        <v>24</v>
      </c>
      <c r="P79" s="4"/>
    </row>
    <row r="80" spans="2:16" x14ac:dyDescent="0.25">
      <c r="B80" s="24" t="str">
        <f>B79</f>
        <v>V1</v>
      </c>
      <c r="C80" s="21">
        <f>V_1/3.28</f>
        <v>165.462363516414</v>
      </c>
      <c r="D80" t="s">
        <v>82</v>
      </c>
      <c r="P80" s="4"/>
    </row>
    <row r="81" spans="2:16" x14ac:dyDescent="0.25">
      <c r="B81" s="3" t="s">
        <v>41</v>
      </c>
      <c r="C81" s="10">
        <f>mdot/A/V_1</f>
        <v>0.55323745906102084</v>
      </c>
      <c r="D81" t="s">
        <v>25</v>
      </c>
      <c r="P81" s="4"/>
    </row>
    <row r="82" spans="2:16" x14ac:dyDescent="0.25">
      <c r="B82" s="24" t="str">
        <f>B81</f>
        <v>rho1</v>
      </c>
      <c r="C82" s="21">
        <f>rho_1*16.01846</f>
        <v>8.8620121084705996</v>
      </c>
      <c r="D82" t="s">
        <v>81</v>
      </c>
      <c r="P82" s="4"/>
    </row>
    <row r="83" spans="2:16" x14ac:dyDescent="0.25">
      <c r="B83" s="3" t="s">
        <v>39</v>
      </c>
      <c r="C83" s="10">
        <f>Z*rho_1*Rg*T_1/144</f>
        <v>130.19355710627519</v>
      </c>
      <c r="D83" t="s">
        <v>1</v>
      </c>
      <c r="P83" s="4"/>
    </row>
    <row r="84" spans="2:16" x14ac:dyDescent="0.25">
      <c r="B84" s="24" t="str">
        <f>B83</f>
        <v>P1</v>
      </c>
      <c r="C84" s="21">
        <f>P_1*6.89476</f>
        <v>897.65332979406196</v>
      </c>
      <c r="D84" t="s">
        <v>65</v>
      </c>
      <c r="P84" s="4"/>
    </row>
    <row r="85" spans="2:16" x14ac:dyDescent="0.25">
      <c r="B85" s="3"/>
      <c r="P85" s="4"/>
    </row>
    <row r="86" spans="2:16" x14ac:dyDescent="0.25">
      <c r="B86" s="3"/>
      <c r="P86" s="4"/>
    </row>
    <row r="87" spans="2:16" x14ac:dyDescent="0.25">
      <c r="B87" s="3"/>
      <c r="P87" s="4"/>
    </row>
    <row r="88" spans="2:16" x14ac:dyDescent="0.25">
      <c r="B88" s="3" t="s">
        <v>96</v>
      </c>
      <c r="C88" s="11">
        <f>P_1*(1+(Gam-1)/2*M_1^2)^(Gam/(Gam-1))</f>
        <v>148.64407179338261</v>
      </c>
      <c r="D88" t="s">
        <v>1</v>
      </c>
      <c r="P88" s="4"/>
    </row>
    <row r="89" spans="2:16" x14ac:dyDescent="0.25">
      <c r="B89" s="24" t="str">
        <f>B88</f>
        <v>Po1</v>
      </c>
      <c r="C89" s="21">
        <f>Po_2*6.89476</f>
        <v>694.40251877697983</v>
      </c>
      <c r="D89" t="s">
        <v>65</v>
      </c>
      <c r="P89" s="4"/>
    </row>
    <row r="90" spans="2:16" x14ac:dyDescent="0.25">
      <c r="B90" s="24"/>
      <c r="C90" s="21"/>
      <c r="P90" s="4"/>
    </row>
    <row r="91" spans="2:16" x14ac:dyDescent="0.25">
      <c r="B91" s="3"/>
      <c r="P91" s="4"/>
    </row>
    <row r="92" spans="2:16" x14ac:dyDescent="0.25">
      <c r="B92" s="3"/>
      <c r="P92" s="4"/>
    </row>
    <row r="93" spans="2:16" x14ac:dyDescent="0.25">
      <c r="B93" s="3" t="s">
        <v>43</v>
      </c>
      <c r="C93" s="10">
        <f>cp*(T_1)</f>
        <v>155.61363470948788</v>
      </c>
      <c r="D93" t="s">
        <v>28</v>
      </c>
      <c r="E93" s="12" t="s">
        <v>84</v>
      </c>
      <c r="P93" s="4"/>
    </row>
    <row r="94" spans="2:16" x14ac:dyDescent="0.25">
      <c r="B94" s="24" t="str">
        <f>B93</f>
        <v>h1</v>
      </c>
      <c r="C94" s="21">
        <f>h_1*2.32442</f>
        <v>361.71144479142782</v>
      </c>
      <c r="D94" t="s">
        <v>66</v>
      </c>
      <c r="E94" s="12"/>
      <c r="P94" s="4"/>
    </row>
    <row r="95" spans="2:16" x14ac:dyDescent="0.25">
      <c r="B95" s="3" t="s">
        <v>44</v>
      </c>
      <c r="C95" s="10">
        <f>h_1+0.5*V_1^2/C10/gc</f>
        <v>161.4957915150095</v>
      </c>
      <c r="D95" t="s">
        <v>28</v>
      </c>
      <c r="P95" s="4"/>
    </row>
    <row r="96" spans="2:16" x14ac:dyDescent="0.25">
      <c r="B96" s="24" t="str">
        <f>B95</f>
        <v>ho1</v>
      </c>
      <c r="C96" s="21">
        <f>ho_1*2.32442</f>
        <v>375.38404771331835</v>
      </c>
      <c r="D96" t="s">
        <v>66</v>
      </c>
      <c r="P96" s="4"/>
    </row>
    <row r="97" spans="2:16" x14ac:dyDescent="0.25">
      <c r="B97" s="3"/>
      <c r="P97" s="4"/>
    </row>
    <row r="98" spans="2:16" ht="15.75" thickBot="1" x14ac:dyDescent="0.3">
      <c r="B98" s="6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8"/>
    </row>
    <row r="100" spans="2:16" ht="15.75" thickBot="1" x14ac:dyDescent="0.3"/>
    <row r="101" spans="2:16" x14ac:dyDescent="0.25">
      <c r="B101" s="13" t="s">
        <v>23</v>
      </c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2"/>
    </row>
    <row r="102" spans="2:16" x14ac:dyDescent="0.25">
      <c r="B102" s="3"/>
      <c r="P102" s="4"/>
    </row>
    <row r="103" spans="2:16" x14ac:dyDescent="0.25">
      <c r="B103" s="3"/>
      <c r="P103" s="4"/>
    </row>
    <row r="104" spans="2:16" x14ac:dyDescent="0.25">
      <c r="B104" s="3"/>
      <c r="P104" s="4"/>
    </row>
    <row r="105" spans="2:16" x14ac:dyDescent="0.25">
      <c r="B105" s="3" t="s">
        <v>87</v>
      </c>
      <c r="P105" s="4"/>
    </row>
    <row r="106" spans="2:16" x14ac:dyDescent="0.25">
      <c r="B106" s="3" t="s">
        <v>45</v>
      </c>
      <c r="C106" s="10">
        <f>ho_1</f>
        <v>161.4957915150095</v>
      </c>
      <c r="D106" t="s">
        <v>28</v>
      </c>
      <c r="P106" s="4"/>
    </row>
    <row r="107" spans="2:16" x14ac:dyDescent="0.25">
      <c r="B107" s="24" t="str">
        <f>B106</f>
        <v>ho2</v>
      </c>
      <c r="C107" s="21">
        <f>ho_2*2.32442</f>
        <v>375.38404771331835</v>
      </c>
      <c r="D107" t="s">
        <v>66</v>
      </c>
      <c r="P107" s="4"/>
    </row>
    <row r="108" spans="2:16" x14ac:dyDescent="0.25">
      <c r="B108" s="24"/>
      <c r="C108" s="21"/>
      <c r="P108" s="4"/>
    </row>
    <row r="109" spans="2:16" x14ac:dyDescent="0.25">
      <c r="B109" s="3" t="s">
        <v>95</v>
      </c>
      <c r="P109" s="4"/>
    </row>
    <row r="110" spans="2:16" x14ac:dyDescent="0.25">
      <c r="B110" s="3" t="s">
        <v>50</v>
      </c>
      <c r="C110" s="11">
        <f>To_1</f>
        <v>659.67000000000007</v>
      </c>
      <c r="D110" t="s">
        <v>20</v>
      </c>
      <c r="P110" s="4"/>
    </row>
    <row r="111" spans="2:16" x14ac:dyDescent="0.25">
      <c r="B111" s="3" t="s">
        <v>50</v>
      </c>
      <c r="C111" s="11">
        <f>C110-C8</f>
        <v>200.00000000000006</v>
      </c>
      <c r="D111" t="s">
        <v>2</v>
      </c>
      <c r="J111" s="19"/>
      <c r="P111" s="4"/>
    </row>
    <row r="112" spans="2:16" x14ac:dyDescent="0.25">
      <c r="B112" s="24" t="str">
        <f>B111</f>
        <v>To2</v>
      </c>
      <c r="C112" s="21">
        <f>(C111+459.67)/1.8-273.15</f>
        <v>93.333333333333371</v>
      </c>
      <c r="D112" t="s">
        <v>80</v>
      </c>
      <c r="P112" s="4"/>
    </row>
    <row r="113" spans="2:16" x14ac:dyDescent="0.25">
      <c r="B113" s="24"/>
      <c r="C113" s="21"/>
      <c r="P113" s="4"/>
    </row>
    <row r="114" spans="2:16" x14ac:dyDescent="0.25">
      <c r="B114" s="3" t="s">
        <v>49</v>
      </c>
      <c r="C114" s="11">
        <f>mdot/(A*144)*To_2^0.5/gc^0.5/((Gam/Z/Rg)^0.5*(1+(Gam-1)/2)^(-(Gam+1)/2/(Gam-1)))</f>
        <v>100.71453085777893</v>
      </c>
      <c r="D114" t="s">
        <v>1</v>
      </c>
      <c r="P114" s="4"/>
    </row>
    <row r="115" spans="2:16" x14ac:dyDescent="0.25">
      <c r="B115" s="24" t="str">
        <f>B114</f>
        <v>Po2</v>
      </c>
      <c r="C115" s="21">
        <f>Po_2*6.89476</f>
        <v>694.40251877697983</v>
      </c>
      <c r="D115" t="s">
        <v>65</v>
      </c>
      <c r="P115" s="4"/>
    </row>
    <row r="116" spans="2:16" x14ac:dyDescent="0.25">
      <c r="B116" s="24"/>
      <c r="C116" s="21"/>
      <c r="P116" s="4"/>
    </row>
    <row r="117" spans="2:16" x14ac:dyDescent="0.25">
      <c r="B117" s="24"/>
      <c r="C117" s="21"/>
      <c r="P117" s="4"/>
    </row>
    <row r="118" spans="2:16" x14ac:dyDescent="0.25">
      <c r="B118" s="24"/>
      <c r="C118" s="21"/>
      <c r="P118" s="4"/>
    </row>
    <row r="119" spans="2:16" x14ac:dyDescent="0.25">
      <c r="B119" s="3"/>
      <c r="P119" s="4"/>
    </row>
    <row r="120" spans="2:16" x14ac:dyDescent="0.25">
      <c r="B120" s="3" t="s">
        <v>46</v>
      </c>
      <c r="P120" s="4"/>
    </row>
    <row r="121" spans="2:16" x14ac:dyDescent="0.25">
      <c r="B121" s="3"/>
      <c r="P121" s="4"/>
    </row>
    <row r="122" spans="2:16" x14ac:dyDescent="0.25">
      <c r="B122" s="3" t="s">
        <v>47</v>
      </c>
      <c r="C122" s="11">
        <f>P_1*M_1/M_2*((2+M_1^2*(Gam-1))/(2+M_2^2*(Gam-1)))^0.5</f>
        <v>53.205652410643935</v>
      </c>
      <c r="D122" t="s">
        <v>1</v>
      </c>
      <c r="P122" s="4"/>
    </row>
    <row r="123" spans="2:16" x14ac:dyDescent="0.25">
      <c r="B123" s="24" t="str">
        <f>B122</f>
        <v>P2</v>
      </c>
      <c r="C123" s="21">
        <f>P_2*6.89476</f>
        <v>366.84020401481138</v>
      </c>
      <c r="D123" t="s">
        <v>65</v>
      </c>
      <c r="P123" s="4"/>
    </row>
    <row r="124" spans="2:16" x14ac:dyDescent="0.25">
      <c r="B124" s="3" t="s">
        <v>48</v>
      </c>
      <c r="C124" s="11">
        <f>T_1*((2+M_1^2*(Gam-1))/(2+M_2^2*(Gam-1)))</f>
        <v>549.72500000000002</v>
      </c>
      <c r="D124" t="s">
        <v>20</v>
      </c>
      <c r="P124" s="4"/>
    </row>
    <row r="125" spans="2:16" x14ac:dyDescent="0.25">
      <c r="B125" s="3" t="s">
        <v>48</v>
      </c>
      <c r="C125" s="11">
        <f>C124-C8</f>
        <v>90.055000000000007</v>
      </c>
      <c r="D125" t="s">
        <v>2</v>
      </c>
      <c r="P125" s="4"/>
    </row>
    <row r="126" spans="2:16" x14ac:dyDescent="0.25">
      <c r="B126" s="24" t="str">
        <f>B125</f>
        <v>T2</v>
      </c>
      <c r="C126" s="21">
        <f>(C125+459.67)/1.8-273.15</f>
        <v>32.252777777777794</v>
      </c>
      <c r="D126" t="s">
        <v>80</v>
      </c>
      <c r="P126" s="4"/>
    </row>
    <row r="127" spans="2:16" x14ac:dyDescent="0.25">
      <c r="B127" s="24"/>
      <c r="C127" s="21"/>
      <c r="P127" s="4"/>
    </row>
    <row r="128" spans="2:16" x14ac:dyDescent="0.25">
      <c r="B128" s="3" t="s">
        <v>51</v>
      </c>
      <c r="C128" s="9">
        <f>P_2*144/Z/Rg/T_2</f>
        <v>0.26122571860040111</v>
      </c>
      <c r="D128" t="s">
        <v>25</v>
      </c>
      <c r="P128" s="4"/>
    </row>
    <row r="129" spans="2:16" x14ac:dyDescent="0.25">
      <c r="B129" s="24" t="str">
        <f>B128</f>
        <v>rho2</v>
      </c>
      <c r="C129" s="21">
        <f>rho_2*16.01846</f>
        <v>4.1844337243717815</v>
      </c>
      <c r="D129" t="s">
        <v>81</v>
      </c>
      <c r="P129" s="4"/>
    </row>
    <row r="130" spans="2:16" x14ac:dyDescent="0.25">
      <c r="B130" s="3" t="s">
        <v>52</v>
      </c>
      <c r="C130" s="11">
        <f>mdot/rho_2/A</f>
        <v>1149.3934364970639</v>
      </c>
      <c r="D130" t="s">
        <v>24</v>
      </c>
      <c r="P130" s="4"/>
    </row>
    <row r="131" spans="2:16" x14ac:dyDescent="0.25">
      <c r="B131" s="24" t="str">
        <f>B130</f>
        <v>V2</v>
      </c>
      <c r="C131" s="21">
        <f>V_2/3.28</f>
        <v>350.42482820032438</v>
      </c>
      <c r="D131" t="s">
        <v>82</v>
      </c>
      <c r="P131" s="4"/>
    </row>
    <row r="132" spans="2:16" x14ac:dyDescent="0.25">
      <c r="B132" s="3"/>
      <c r="P132" s="4"/>
    </row>
    <row r="133" spans="2:16" x14ac:dyDescent="0.25">
      <c r="B133" s="3" t="s">
        <v>53</v>
      </c>
      <c r="C133" s="17">
        <f>ho_2-0.5*V_2^2/C10/gc</f>
        <v>135.11256606620012</v>
      </c>
      <c r="D133" t="s">
        <v>28</v>
      </c>
      <c r="P133" s="4"/>
    </row>
    <row r="134" spans="2:16" x14ac:dyDescent="0.25">
      <c r="B134" s="24" t="str">
        <f>B133</f>
        <v>h2</v>
      </c>
      <c r="C134" s="21">
        <f>h_2*2.32442</f>
        <v>314.05835081559684</v>
      </c>
      <c r="D134" t="s">
        <v>66</v>
      </c>
      <c r="P134" s="4"/>
    </row>
    <row r="135" spans="2:16" x14ac:dyDescent="0.25">
      <c r="B135" s="3" t="s">
        <v>74</v>
      </c>
      <c r="C135" s="11">
        <f>V_2/M_2</f>
        <v>1149.3934364970639</v>
      </c>
      <c r="D135" t="s">
        <v>31</v>
      </c>
      <c r="P135" s="4"/>
    </row>
    <row r="136" spans="2:16" x14ac:dyDescent="0.25">
      <c r="B136" s="24" t="str">
        <f>B135</f>
        <v>c2</v>
      </c>
      <c r="C136" s="21">
        <f>c_2/3.28</f>
        <v>350.42482820032438</v>
      </c>
      <c r="D136" t="s">
        <v>83</v>
      </c>
      <c r="P136" s="4"/>
    </row>
    <row r="137" spans="2:16" x14ac:dyDescent="0.25">
      <c r="B137" s="3"/>
      <c r="P137" s="4"/>
    </row>
    <row r="138" spans="2:16" x14ac:dyDescent="0.25">
      <c r="B138" s="3"/>
      <c r="P138" s="4"/>
    </row>
    <row r="139" spans="2:16" x14ac:dyDescent="0.25">
      <c r="B139" s="3"/>
      <c r="P139" s="4"/>
    </row>
    <row r="140" spans="2:16" x14ac:dyDescent="0.25">
      <c r="B140" s="3"/>
      <c r="P140" s="4"/>
    </row>
    <row r="141" spans="2:16" x14ac:dyDescent="0.25">
      <c r="B141" s="3"/>
      <c r="P141" s="4"/>
    </row>
    <row r="142" spans="2:16" ht="15.75" thickBot="1" x14ac:dyDescent="0.3">
      <c r="B142" s="6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8"/>
    </row>
  </sheetData>
  <phoneticPr fontId="3" type="noConversion"/>
  <pageMargins left="0.7" right="0.7" top="0.75" bottom="0.75" header="0.3" footer="0.3"/>
  <pageSetup orientation="portrait" horizontalDpi="4294967292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1093" r:id="rId4">
          <objectPr defaultSize="0" r:id="rId5">
            <anchor moveWithCells="1" sizeWithCells="1">
              <from>
                <xdr:col>4</xdr:col>
                <xdr:colOff>428625</xdr:colOff>
                <xdr:row>111</xdr:row>
                <xdr:rowOff>133350</xdr:rowOff>
              </from>
              <to>
                <xdr:col>7</xdr:col>
                <xdr:colOff>390525</xdr:colOff>
                <xdr:row>115</xdr:row>
                <xdr:rowOff>57150</xdr:rowOff>
              </to>
            </anchor>
          </objectPr>
        </oleObject>
      </mc:Choice>
      <mc:Fallback>
        <oleObject progId="Equation.3" shapeId="1093" r:id="rId4"/>
      </mc:Fallback>
    </mc:AlternateContent>
    <mc:AlternateContent xmlns:mc="http://schemas.openxmlformats.org/markup-compatibility/2006">
      <mc:Choice Requires="x14">
        <oleObject progId="Equation.3" shapeId="1059" r:id="rId6">
          <objectPr defaultSize="0" r:id="rId7">
            <anchor moveWithCells="1" sizeWithCells="1">
              <from>
                <xdr:col>4</xdr:col>
                <xdr:colOff>590550</xdr:colOff>
                <xdr:row>127</xdr:row>
                <xdr:rowOff>152400</xdr:rowOff>
              </from>
              <to>
                <xdr:col>6</xdr:col>
                <xdr:colOff>457200</xdr:colOff>
                <xdr:row>129</xdr:row>
                <xdr:rowOff>57150</xdr:rowOff>
              </to>
            </anchor>
          </objectPr>
        </oleObject>
      </mc:Choice>
      <mc:Fallback>
        <oleObject progId="Equation.3" shapeId="1059" r:id="rId6"/>
      </mc:Fallback>
    </mc:AlternateContent>
    <mc:AlternateContent xmlns:mc="http://schemas.openxmlformats.org/markup-compatibility/2006">
      <mc:Choice Requires="x14">
        <oleObject progId="Equation.3" shapeId="1058" r:id="rId8">
          <objectPr defaultSize="0" r:id="rId9">
            <anchor moveWithCells="1" sizeWithCells="1">
              <from>
                <xdr:col>4</xdr:col>
                <xdr:colOff>542925</xdr:colOff>
                <xdr:row>122</xdr:row>
                <xdr:rowOff>47625</xdr:rowOff>
              </from>
              <to>
                <xdr:col>8</xdr:col>
                <xdr:colOff>133350</xdr:colOff>
                <xdr:row>126</xdr:row>
                <xdr:rowOff>66675</xdr:rowOff>
              </to>
            </anchor>
          </objectPr>
        </oleObject>
      </mc:Choice>
      <mc:Fallback>
        <oleObject progId="Equation.3" shapeId="1058" r:id="rId8"/>
      </mc:Fallback>
    </mc:AlternateContent>
    <mc:AlternateContent xmlns:mc="http://schemas.openxmlformats.org/markup-compatibility/2006">
      <mc:Choice Requires="x14">
        <oleObject progId="Equation.3" shapeId="1057" r:id="rId10">
          <objectPr defaultSize="0" r:id="rId11">
            <anchor moveWithCells="1" sizeWithCells="1">
              <from>
                <xdr:col>4</xdr:col>
                <xdr:colOff>533400</xdr:colOff>
                <xdr:row>117</xdr:row>
                <xdr:rowOff>76200</xdr:rowOff>
              </from>
              <to>
                <xdr:col>9</xdr:col>
                <xdr:colOff>123825</xdr:colOff>
                <xdr:row>121</xdr:row>
                <xdr:rowOff>152400</xdr:rowOff>
              </to>
            </anchor>
          </objectPr>
        </oleObject>
      </mc:Choice>
      <mc:Fallback>
        <oleObject progId="Equation.3" shapeId="1057" r:id="rId10"/>
      </mc:Fallback>
    </mc:AlternateContent>
    <mc:AlternateContent xmlns:mc="http://schemas.openxmlformats.org/markup-compatibility/2006">
      <mc:Choice Requires="x14">
        <oleObject progId="Equation.3" shapeId="1035" r:id="rId12">
          <objectPr defaultSize="0" r:id="rId13">
            <anchor moveWithCells="1" sizeWithCells="1">
              <from>
                <xdr:col>5</xdr:col>
                <xdr:colOff>257175</xdr:colOff>
                <xdr:row>93</xdr:row>
                <xdr:rowOff>114300</xdr:rowOff>
              </from>
              <to>
                <xdr:col>7</xdr:col>
                <xdr:colOff>285750</xdr:colOff>
                <xdr:row>97</xdr:row>
                <xdr:rowOff>66675</xdr:rowOff>
              </to>
            </anchor>
          </objectPr>
        </oleObject>
      </mc:Choice>
      <mc:Fallback>
        <oleObject progId="Equation.3" shapeId="1035" r:id="rId12"/>
      </mc:Fallback>
    </mc:AlternateContent>
    <mc:AlternateContent xmlns:mc="http://schemas.openxmlformats.org/markup-compatibility/2006">
      <mc:Choice Requires="x14">
        <oleObject progId="Equation.3" shapeId="1060" r:id="rId14">
          <objectPr defaultSize="0" r:id="rId15">
            <anchor moveWithCells="1" sizeWithCells="1">
              <from>
                <xdr:col>4</xdr:col>
                <xdr:colOff>600075</xdr:colOff>
                <xdr:row>130</xdr:row>
                <xdr:rowOff>19050</xdr:rowOff>
              </from>
              <to>
                <xdr:col>6</xdr:col>
                <xdr:colOff>352425</xdr:colOff>
                <xdr:row>131</xdr:row>
                <xdr:rowOff>114300</xdr:rowOff>
              </to>
            </anchor>
          </objectPr>
        </oleObject>
      </mc:Choice>
      <mc:Fallback>
        <oleObject progId="Equation.3" shapeId="1060" r:id="rId14"/>
      </mc:Fallback>
    </mc:AlternateContent>
    <mc:AlternateContent xmlns:mc="http://schemas.openxmlformats.org/markup-compatibility/2006">
      <mc:Choice Requires="x14">
        <oleObject progId="Equation.3" shapeId="1061" r:id="rId16">
          <objectPr defaultSize="0" r:id="rId13">
            <anchor moveWithCells="1" sizeWithCells="1">
              <from>
                <xdr:col>5</xdr:col>
                <xdr:colOff>9525</xdr:colOff>
                <xdr:row>132</xdr:row>
                <xdr:rowOff>57150</xdr:rowOff>
              </from>
              <to>
                <xdr:col>7</xdr:col>
                <xdr:colOff>38100</xdr:colOff>
                <xdr:row>136</xdr:row>
                <xdr:rowOff>9525</xdr:rowOff>
              </to>
            </anchor>
          </objectPr>
        </oleObject>
      </mc:Choice>
      <mc:Fallback>
        <oleObject progId="Equation.3" shapeId="1061" r:id="rId16"/>
      </mc:Fallback>
    </mc:AlternateContent>
    <mc:AlternateContent xmlns:mc="http://schemas.openxmlformats.org/markup-compatibility/2006">
      <mc:Choice Requires="x14">
        <oleObject progId="Equation.3" shapeId="1040" r:id="rId17">
          <objectPr defaultSize="0" r:id="rId18">
            <anchor moveWithCells="1" sizeWithCells="1">
              <from>
                <xdr:col>5</xdr:col>
                <xdr:colOff>304800</xdr:colOff>
                <xdr:row>71</xdr:row>
                <xdr:rowOff>180975</xdr:rowOff>
              </from>
              <to>
                <xdr:col>8</xdr:col>
                <xdr:colOff>390525</xdr:colOff>
                <xdr:row>75</xdr:row>
                <xdr:rowOff>38100</xdr:rowOff>
              </to>
            </anchor>
          </objectPr>
        </oleObject>
      </mc:Choice>
      <mc:Fallback>
        <oleObject progId="Equation.3" shapeId="1040" r:id="rId17"/>
      </mc:Fallback>
    </mc:AlternateContent>
    <mc:AlternateContent xmlns:mc="http://schemas.openxmlformats.org/markup-compatibility/2006">
      <mc:Choice Requires="x14">
        <oleObject progId="Equation.3" shapeId="1037" r:id="rId19">
          <objectPr defaultSize="0" r:id="rId7">
            <anchor moveWithCells="1" sizeWithCells="1">
              <from>
                <xdr:col>5</xdr:col>
                <xdr:colOff>342900</xdr:colOff>
                <xdr:row>83</xdr:row>
                <xdr:rowOff>142875</xdr:rowOff>
              </from>
              <to>
                <xdr:col>7</xdr:col>
                <xdr:colOff>209550</xdr:colOff>
                <xdr:row>85</xdr:row>
                <xdr:rowOff>47625</xdr:rowOff>
              </to>
            </anchor>
          </objectPr>
        </oleObject>
      </mc:Choice>
      <mc:Fallback>
        <oleObject progId="Equation.3" shapeId="1037" r:id="rId19"/>
      </mc:Fallback>
    </mc:AlternateContent>
    <mc:AlternateContent xmlns:mc="http://schemas.openxmlformats.org/markup-compatibility/2006">
      <mc:Choice Requires="x14">
        <oleObject progId="Equation.3" shapeId="1042" r:id="rId20">
          <objectPr defaultSize="0" r:id="rId15">
            <anchor moveWithCells="1" sizeWithCells="1">
              <from>
                <xdr:col>5</xdr:col>
                <xdr:colOff>333375</xdr:colOff>
                <xdr:row>81</xdr:row>
                <xdr:rowOff>171450</xdr:rowOff>
              </from>
              <to>
                <xdr:col>7</xdr:col>
                <xdr:colOff>85725</xdr:colOff>
                <xdr:row>83</xdr:row>
                <xdr:rowOff>76200</xdr:rowOff>
              </to>
            </anchor>
          </objectPr>
        </oleObject>
      </mc:Choice>
      <mc:Fallback>
        <oleObject progId="Equation.3" shapeId="1042" r:id="rId20"/>
      </mc:Fallback>
    </mc:AlternateContent>
    <mc:AlternateContent xmlns:mc="http://schemas.openxmlformats.org/markup-compatibility/2006">
      <mc:Choice Requires="x14">
        <oleObject progId="Equation.3" shapeId="1090" r:id="rId21">
          <objectPr defaultSize="0" r:id="rId22">
            <anchor moveWithCells="1" sizeWithCells="1">
              <from>
                <xdr:col>5</xdr:col>
                <xdr:colOff>323850</xdr:colOff>
                <xdr:row>86</xdr:row>
                <xdr:rowOff>114300</xdr:rowOff>
              </from>
              <to>
                <xdr:col>9</xdr:col>
                <xdr:colOff>561975</xdr:colOff>
                <xdr:row>91</xdr:row>
                <xdr:rowOff>38100</xdr:rowOff>
              </to>
            </anchor>
          </objectPr>
        </oleObject>
      </mc:Choice>
      <mc:Fallback>
        <oleObject progId="Equation.3" shapeId="1090" r:id="rId21"/>
      </mc:Fallback>
    </mc:AlternateContent>
    <mc:AlternateContent xmlns:mc="http://schemas.openxmlformats.org/markup-compatibility/2006">
      <mc:Choice Requires="x14">
        <oleObject progId="Equation.3" shapeId="1094" r:id="rId23">
          <objectPr defaultSize="0" r:id="rId24">
            <anchor moveWithCells="1" sizeWithCells="1">
              <from>
                <xdr:col>7</xdr:col>
                <xdr:colOff>514350</xdr:colOff>
                <xdr:row>111</xdr:row>
                <xdr:rowOff>142875</xdr:rowOff>
              </from>
              <to>
                <xdr:col>15</xdr:col>
                <xdr:colOff>57150</xdr:colOff>
                <xdr:row>115</xdr:row>
                <xdr:rowOff>123825</xdr:rowOff>
              </to>
            </anchor>
          </objectPr>
        </oleObject>
      </mc:Choice>
      <mc:Fallback>
        <oleObject progId="Equation.3" shapeId="1094" r:id="rId2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ADB2E-AC0D-4E52-BA82-8FD395896DFF}">
  <dimension ref="B1:AE76"/>
  <sheetViews>
    <sheetView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RowHeight="15" x14ac:dyDescent="0.25"/>
  <sheetData>
    <row r="1" spans="2:31" x14ac:dyDescent="0.25">
      <c r="B1" s="33" t="s">
        <v>97</v>
      </c>
      <c r="C1" s="33" t="s">
        <v>97</v>
      </c>
      <c r="D1" s="33" t="s">
        <v>98</v>
      </c>
      <c r="E1" s="33" t="s">
        <v>99</v>
      </c>
      <c r="F1" s="33" t="s">
        <v>100</v>
      </c>
      <c r="G1" s="33" t="s">
        <v>100</v>
      </c>
      <c r="H1" s="33" t="s">
        <v>101</v>
      </c>
      <c r="I1" s="33" t="s">
        <v>101</v>
      </c>
      <c r="J1" s="33" t="s">
        <v>102</v>
      </c>
      <c r="K1" s="33" t="s">
        <v>102</v>
      </c>
      <c r="L1" s="33" t="s">
        <v>102</v>
      </c>
      <c r="M1" s="33" t="s">
        <v>102</v>
      </c>
      <c r="N1" s="33" t="s">
        <v>103</v>
      </c>
      <c r="O1" s="33" t="s">
        <v>103</v>
      </c>
      <c r="P1" s="33" t="s">
        <v>103</v>
      </c>
      <c r="Q1" s="33" t="s">
        <v>103</v>
      </c>
      <c r="R1" s="33" t="s">
        <v>104</v>
      </c>
      <c r="S1" s="33" t="s">
        <v>104</v>
      </c>
      <c r="T1" s="33" t="s">
        <v>105</v>
      </c>
      <c r="U1" s="33" t="s">
        <v>105</v>
      </c>
      <c r="V1" s="33" t="s">
        <v>106</v>
      </c>
      <c r="W1" s="33" t="s">
        <v>106</v>
      </c>
      <c r="Y1" s="34" t="s">
        <v>107</v>
      </c>
      <c r="Z1" s="34" t="s">
        <v>98</v>
      </c>
      <c r="AA1" s="34" t="s">
        <v>108</v>
      </c>
      <c r="AB1" s="34" t="s">
        <v>109</v>
      </c>
      <c r="AC1" s="34" t="s">
        <v>110</v>
      </c>
      <c r="AD1" s="34" t="s">
        <v>111</v>
      </c>
      <c r="AE1" s="34" t="s">
        <v>112</v>
      </c>
    </row>
    <row r="2" spans="2:31" x14ac:dyDescent="0.25">
      <c r="B2" s="33" t="s">
        <v>15</v>
      </c>
      <c r="C2" s="33" t="s">
        <v>56</v>
      </c>
      <c r="D2" s="33"/>
      <c r="E2" s="33" t="s">
        <v>113</v>
      </c>
      <c r="F2" s="33" t="s">
        <v>1</v>
      </c>
      <c r="G2" s="33" t="s">
        <v>65</v>
      </c>
      <c r="H2" s="33" t="s">
        <v>1</v>
      </c>
      <c r="I2" s="33" t="s">
        <v>65</v>
      </c>
      <c r="J2" s="33" t="s">
        <v>20</v>
      </c>
      <c r="K2" s="33" t="s">
        <v>114</v>
      </c>
      <c r="L2" s="33" t="s">
        <v>2</v>
      </c>
      <c r="M2" s="33" t="s">
        <v>80</v>
      </c>
      <c r="N2" s="33" t="s">
        <v>20</v>
      </c>
      <c r="O2" s="33" t="s">
        <v>114</v>
      </c>
      <c r="P2" s="33" t="s">
        <v>2</v>
      </c>
      <c r="Q2" s="33" t="s">
        <v>80</v>
      </c>
      <c r="R2" s="33" t="s">
        <v>115</v>
      </c>
      <c r="S2" s="33" t="s">
        <v>81</v>
      </c>
      <c r="T2" s="33" t="s">
        <v>24</v>
      </c>
      <c r="U2" s="33" t="s">
        <v>82</v>
      </c>
      <c r="V2" s="33" t="s">
        <v>24</v>
      </c>
      <c r="W2" s="33" t="s">
        <v>82</v>
      </c>
      <c r="Y2" s="34"/>
      <c r="Z2" s="34"/>
      <c r="AA2" s="34"/>
      <c r="AB2" s="34"/>
      <c r="AC2" s="34"/>
      <c r="AD2" s="34"/>
      <c r="AE2" s="34"/>
    </row>
    <row r="3" spans="2:31" x14ac:dyDescent="0.25">
      <c r="B3">
        <v>0</v>
      </c>
      <c r="C3">
        <f>B3/3.28</f>
        <v>0</v>
      </c>
      <c r="D3">
        <f>M_1</f>
        <v>0.43927482794292305</v>
      </c>
      <c r="E3">
        <f>(Gam/Z/Rg)^0.5*D3*(1+D3^2*(Gam-1)/2)^(-(Gam+1)/2/(Gam-1))</f>
        <v>6.3516330246209479E-2</v>
      </c>
      <c r="F3">
        <f>P_1</f>
        <v>130.19355710627519</v>
      </c>
      <c r="G3" s="21">
        <f>F3*6.89476</f>
        <v>897.65332979406196</v>
      </c>
      <c r="H3">
        <f>Po_1</f>
        <v>148.64407179338261</v>
      </c>
      <c r="I3" s="21">
        <f>H3*6.89476</f>
        <v>1024.8652004381427</v>
      </c>
      <c r="J3">
        <f>T_1</f>
        <v>635.15769269178725</v>
      </c>
      <c r="K3">
        <f>J3/1.8</f>
        <v>352.86538482877069</v>
      </c>
      <c r="L3">
        <f>J3-'Example 7.3 - Pipe P2'!$C$8</f>
        <v>175.48769269178723</v>
      </c>
      <c r="M3">
        <f>K3-'Example 7.3 - Pipe P2'!$C$9</f>
        <v>79.715384828770709</v>
      </c>
      <c r="N3">
        <f>To_1</f>
        <v>659.67000000000007</v>
      </c>
      <c r="O3">
        <f>N3/1.8</f>
        <v>366.48333333333335</v>
      </c>
      <c r="P3">
        <f>N3-'Example 7.3 - Pipe P2'!$C$8</f>
        <v>200.00000000000006</v>
      </c>
      <c r="Q3">
        <f>O3-'Example 7.3 - Pipe P2'!$C$9</f>
        <v>93.333333333333371</v>
      </c>
      <c r="R3">
        <f>rho_1</f>
        <v>0.55323745906102084</v>
      </c>
      <c r="S3">
        <f>R3*16.01846</f>
        <v>8.8620121084705996</v>
      </c>
      <c r="T3">
        <f>(Gam*F3/R3*gc*144)^0.5</f>
        <v>1235.4829318932782</v>
      </c>
      <c r="U3">
        <f>T3/3.28</f>
        <v>376.671625577219</v>
      </c>
      <c r="V3">
        <f>D3*T3</f>
        <v>542.71655233383785</v>
      </c>
      <c r="W3">
        <f>V3/3.28</f>
        <v>165.462363516414</v>
      </c>
      <c r="Y3">
        <f>B3/L</f>
        <v>0</v>
      </c>
      <c r="Z3">
        <f>D3</f>
        <v>0.43927482794292305</v>
      </c>
      <c r="AA3">
        <f>F3/$F$3</f>
        <v>1</v>
      </c>
      <c r="AB3">
        <f>H3/$H$3</f>
        <v>1</v>
      </c>
      <c r="AC3">
        <f>J3/$J$3</f>
        <v>1</v>
      </c>
      <c r="AD3">
        <f>R3/$R$3</f>
        <v>1</v>
      </c>
      <c r="AE3">
        <f>V3/$V$3</f>
        <v>1</v>
      </c>
    </row>
    <row r="4" spans="2:31" x14ac:dyDescent="0.25">
      <c r="B4">
        <f>(1/Gam*(1/M_1^2-1/D4^2)+(Gam+1)/2/Gam*LN((M_1^2/D4^2)*(1+D4^2*(Gam-1)/2)/(1+M_1^2*(Gam-1)/2)))*D/f</f>
        <v>1.8504195039553009</v>
      </c>
      <c r="C4">
        <f>B4/3.28</f>
        <v>0.56415228779125026</v>
      </c>
      <c r="D4">
        <f>D3+0.01</f>
        <v>0.44927482794292306</v>
      </c>
      <c r="E4">
        <f>(Gam/Z/Rg)^0.5*D4*(1+D4^2*(Gam-1)/2)^(-(Gam+1)/2/(Gam-1))</f>
        <v>6.4629940195978203E-2</v>
      </c>
      <c r="F4">
        <f>H4/(1+(Gam-1)/2*D4^2)^(Gam/(Gam-1))</f>
        <v>127.18693101453869</v>
      </c>
      <c r="G4" s="21">
        <f>F4*6.89476</f>
        <v>876.92336448180072</v>
      </c>
      <c r="H4">
        <f>mdot*N4^0.5/A/E4/gc^0.5/144</f>
        <v>146.08285145461545</v>
      </c>
      <c r="I4" s="21">
        <f>H4*6.89476</f>
        <v>1007.2062008952244</v>
      </c>
      <c r="J4">
        <f>N4/(1+(Gam-1)/2*D4^2)</f>
        <v>634.07275294870419</v>
      </c>
      <c r="K4">
        <f>J4/1.8</f>
        <v>352.2626405270579</v>
      </c>
      <c r="L4">
        <f>J4-'Example 7.3 - Pipe P2'!$C$8</f>
        <v>174.40275294870418</v>
      </c>
      <c r="M4">
        <f>K4-'Example 7.3 - Pipe P2'!$C$9</f>
        <v>79.11264052705792</v>
      </c>
      <c r="N4">
        <f>N3</f>
        <v>659.67000000000007</v>
      </c>
      <c r="O4">
        <f>O3</f>
        <v>366.48333333333335</v>
      </c>
      <c r="P4">
        <f>N4-'Example 7.3 - Pipe P2'!$C$8</f>
        <v>200.00000000000006</v>
      </c>
      <c r="Q4">
        <f>O4-'Example 7.3 - Pipe P2'!$C$9</f>
        <v>93.333333333333371</v>
      </c>
      <c r="R4">
        <f>F4/J4/Rg/Z*144</f>
        <v>0.54138602917797041</v>
      </c>
      <c r="S4">
        <f>R4*16.01846</f>
        <v>8.672170452946153</v>
      </c>
      <c r="T4">
        <f>(Gam*F4/R4*gc*144)^0.5</f>
        <v>1234.4272905552962</v>
      </c>
      <c r="U4">
        <f>T4/3.28</f>
        <v>376.349783705883</v>
      </c>
      <c r="V4">
        <f>D4*T4</f>
        <v>554.59710857227935</v>
      </c>
      <c r="W4">
        <f>V4/3.28</f>
        <v>169.0844843208169</v>
      </c>
      <c r="Y4">
        <f>B4/L</f>
        <v>7.4016780158212031E-2</v>
      </c>
      <c r="Z4">
        <f>D4</f>
        <v>0.44927482794292306</v>
      </c>
      <c r="AA4">
        <f>F4/$F$3</f>
        <v>0.97690649093117377</v>
      </c>
      <c r="AB4">
        <f>H4/$H$3</f>
        <v>0.98276944174183223</v>
      </c>
      <c r="AC4">
        <f>J4/$J$3</f>
        <v>0.99829185766689665</v>
      </c>
      <c r="AD4">
        <f>R4/$R$3</f>
        <v>0.97857804151012262</v>
      </c>
      <c r="AE4">
        <f>V4/$V$3</f>
        <v>1.0218909045382008</v>
      </c>
    </row>
    <row r="5" spans="2:31" x14ac:dyDescent="0.25">
      <c r="B5">
        <f>(1/Gam*(1/M_1^2-1/D5^2)+(Gam+1)/2/Gam*LN((M_1^2/D5^2)*(1+D5^2*(Gam-1)/2)/(1+M_1^2*(Gam-1)/2)))*D/f</f>
        <v>3.5589596297900283</v>
      </c>
      <c r="C5">
        <f>B5/3.28</f>
        <v>1.0850486676189111</v>
      </c>
      <c r="D5">
        <f>D4+0.01</f>
        <v>0.45927482794292307</v>
      </c>
      <c r="E5">
        <f>(Gam/Z/Rg)^0.5*D5*(1+D5^2*(Gam-1)/2)^(-(Gam+1)/2/(Gam-1))</f>
        <v>6.5723501379520072E-2</v>
      </c>
      <c r="F5">
        <f>H5/(1+(Gam-1)/2*D5^2)^(Gam/(Gam-1))</f>
        <v>124.30912085360384</v>
      </c>
      <c r="G5" s="21">
        <f>F5*6.89476</f>
        <v>857.08155409659366</v>
      </c>
      <c r="H5">
        <f>mdot*N5^0.5/A/E5/gc^0.5/144</f>
        <v>143.65220590806427</v>
      </c>
      <c r="I5" s="21">
        <f>H5*6.89476</f>
        <v>990.44748320668521</v>
      </c>
      <c r="J5">
        <f>N5/(1+(Gam-1)/2*D5^2)</f>
        <v>632.96721860224329</v>
      </c>
      <c r="K5">
        <f>J5/1.8</f>
        <v>351.64845477902406</v>
      </c>
      <c r="L5">
        <f>J5-'Example 7.3 - Pipe P2'!$C$8</f>
        <v>173.29721860224328</v>
      </c>
      <c r="M5">
        <f>K5-'Example 7.3 - Pipe P2'!$C$9</f>
        <v>78.498454779024087</v>
      </c>
      <c r="N5">
        <f>N4</f>
        <v>659.67000000000007</v>
      </c>
      <c r="O5">
        <f>O4</f>
        <v>366.48333333333335</v>
      </c>
      <c r="P5">
        <f>N5-'Example 7.3 - Pipe P2'!$C$8</f>
        <v>200.00000000000006</v>
      </c>
      <c r="Q5">
        <f>O5-'Example 7.3 - Pipe P2'!$C$9</f>
        <v>93.333333333333371</v>
      </c>
      <c r="R5">
        <f>F5/J5/Rg/Z*144</f>
        <v>0.53006047832744929</v>
      </c>
      <c r="S5">
        <f>R5*16.01846</f>
        <v>8.4907525696691142</v>
      </c>
      <c r="T5">
        <f>(Gam*F5/R5*gc*144)^0.5</f>
        <v>1233.3506813370077</v>
      </c>
      <c r="U5">
        <f>T5/3.28</f>
        <v>376.02154918811215</v>
      </c>
      <c r="V5">
        <f>D5*T5</f>
        <v>566.44692196434119</v>
      </c>
      <c r="W5">
        <f>V5/3.28</f>
        <v>172.69723230620158</v>
      </c>
      <c r="Y5">
        <f>B5/L</f>
        <v>0.14235838519160113</v>
      </c>
      <c r="Z5">
        <f>D5</f>
        <v>0.45927482794292307</v>
      </c>
      <c r="AA5">
        <f>F5/$F$3</f>
        <v>0.95480240049153919</v>
      </c>
      <c r="AB5">
        <f>H5/$H$3</f>
        <v>0.96641732276913739</v>
      </c>
      <c r="AC5">
        <f>J5/$J$3</f>
        <v>0.99655129093963934</v>
      </c>
      <c r="AD5">
        <f>R5/$R$3</f>
        <v>0.9581066315124277</v>
      </c>
      <c r="AE5">
        <f>V5/$V$3</f>
        <v>1.0437251628468966</v>
      </c>
    </row>
    <row r="6" spans="2:31" x14ac:dyDescent="0.25">
      <c r="B6">
        <f>(1/Gam*(1/M_1^2-1/D6^2)+(Gam+1)/2/Gam*LN((M_1^2/D6^2)*(1+D6^2*(Gam-1)/2)/(1+M_1^2*(Gam-1)/2)))*D/f</f>
        <v>5.1381345614029454</v>
      </c>
      <c r="C6">
        <f>B6/3.28</f>
        <v>1.5665044394521177</v>
      </c>
      <c r="D6">
        <f>D5+0.01</f>
        <v>0.46927482794292308</v>
      </c>
      <c r="E6">
        <f>(Gam/Z/Rg)^0.5*D6*(1+D6^2*(Gam-1)/2)^(-(Gam+1)/2/(Gam-1))</f>
        <v>6.6796811554813901E-2</v>
      </c>
      <c r="F6">
        <f>H6/(1+(Gam-1)/2*D6^2)^(Gam/(Gam-1))</f>
        <v>121.55190876861445</v>
      </c>
      <c r="G6" s="21">
        <f>F6*6.89476</f>
        <v>838.07123850149219</v>
      </c>
      <c r="H6">
        <f>mdot*N6^0.5/A/E6/gc^0.5/144</f>
        <v>141.34396138687174</v>
      </c>
      <c r="I6" s="21">
        <f>H6*6.89476</f>
        <v>974.53269121174776</v>
      </c>
      <c r="J6">
        <f>N6/(1+(Gam-1)/2*D6^2)</f>
        <v>631.84132425122766</v>
      </c>
      <c r="K6">
        <f>J6/1.8</f>
        <v>351.02295791734872</v>
      </c>
      <c r="L6">
        <f>J6-'Example 7.3 - Pipe P2'!$C$8</f>
        <v>172.17132425122765</v>
      </c>
      <c r="M6">
        <f>K6-'Example 7.3 - Pipe P2'!$C$9</f>
        <v>77.872957917348742</v>
      </c>
      <c r="N6">
        <f>N5</f>
        <v>659.67000000000007</v>
      </c>
      <c r="O6">
        <f>O5</f>
        <v>366.48333333333335</v>
      </c>
      <c r="P6">
        <f>N6-'Example 7.3 - Pipe P2'!$C$8</f>
        <v>200.00000000000006</v>
      </c>
      <c r="Q6">
        <f>O6-'Example 7.3 - Pipe P2'!$C$9</f>
        <v>93.333333333333371</v>
      </c>
      <c r="R6">
        <f>F6/J6/Rg/Z*144</f>
        <v>0.51922716285547377</v>
      </c>
      <c r="S6">
        <f>R6*16.01846</f>
        <v>8.3172195391138928</v>
      </c>
      <c r="T6">
        <f>(Gam*F6/R6*gc*144)^0.5</f>
        <v>1232.2532780441045</v>
      </c>
      <c r="U6">
        <f>T6/3.28</f>
        <v>375.6869750134465</v>
      </c>
      <c r="V6">
        <f>D6*T6</f>
        <v>578.26544503625007</v>
      </c>
      <c r="W6">
        <f>V6/3.28</f>
        <v>176.30044055983234</v>
      </c>
      <c r="Y6">
        <f>B6/L</f>
        <v>0.20552538245611782</v>
      </c>
      <c r="Z6">
        <f>D6</f>
        <v>0.46927482794292308</v>
      </c>
      <c r="AA6">
        <f>F6/$F$3</f>
        <v>0.93362460839282024</v>
      </c>
      <c r="AB6">
        <f>H6/$H$3</f>
        <v>0.95088865422996405</v>
      </c>
      <c r="AC6">
        <f>J6/$J$3</f>
        <v>0.99477866917346958</v>
      </c>
      <c r="AD6">
        <f>R6/$R$3</f>
        <v>0.93852495768585364</v>
      </c>
      <c r="AE6">
        <f>V6/$V$3</f>
        <v>1.0655017661605155</v>
      </c>
    </row>
    <row r="7" spans="2:31" x14ac:dyDescent="0.25">
      <c r="B7">
        <f>(1/Gam*(1/M_1^2-1/D7^2)+(Gam+1)/2/Gam*LN((M_1^2/D7^2)*(1+D7^2*(Gam-1)/2)/(1+M_1^2*(Gam-1)/2)))*D/f</f>
        <v>6.5991449257566481</v>
      </c>
      <c r="C7">
        <f>B7/3.28</f>
        <v>2.0119344285843441</v>
      </c>
      <c r="D7">
        <f>D6+0.01</f>
        <v>0.47927482794292309</v>
      </c>
      <c r="E7">
        <f>(Gam/Z/Rg)^0.5*D7*(1+D7^2*(Gam-1)/2)^(-(Gam+1)/2/(Gam-1))</f>
        <v>6.7849681430199621E-2</v>
      </c>
      <c r="F7">
        <f>H7/(1+(Gam-1)/2*D7^2)^(Gam/(Gam-1))</f>
        <v>118.90776300467083</v>
      </c>
      <c r="G7" s="21">
        <f>F7*6.89476</f>
        <v>819.84048805408418</v>
      </c>
      <c r="H7">
        <f>mdot*N7^0.5/A/E7/gc^0.5/144</f>
        <v>139.15063054323298</v>
      </c>
      <c r="I7" s="21">
        <f>H7*6.89476</f>
        <v>959.41020144426102</v>
      </c>
      <c r="J7">
        <f>N7/(1+(Gam-1)/2*D7^2)</f>
        <v>630.69530751805087</v>
      </c>
      <c r="K7">
        <f>J7/1.8</f>
        <v>350.38628195447268</v>
      </c>
      <c r="L7">
        <f>J7-'Example 7.3 - Pipe P2'!$C$8</f>
        <v>171.02530751805085</v>
      </c>
      <c r="M7">
        <f>K7-'Example 7.3 - Pipe P2'!$C$9</f>
        <v>77.236281954472702</v>
      </c>
      <c r="N7">
        <f>N6</f>
        <v>659.67000000000007</v>
      </c>
      <c r="O7">
        <f>O6</f>
        <v>366.48333333333335</v>
      </c>
      <c r="P7">
        <f>N7-'Example 7.3 - Pipe P2'!$C$8</f>
        <v>200.00000000000006</v>
      </c>
      <c r="Q7">
        <f>O7-'Example 7.3 - Pipe P2'!$C$9</f>
        <v>93.333333333333371</v>
      </c>
      <c r="R7">
        <f>F7/J7/Rg/Z*144</f>
        <v>0.50885524655849512</v>
      </c>
      <c r="S7">
        <f>R7*16.01846</f>
        <v>8.1510774127873926</v>
      </c>
      <c r="T7">
        <f>(Gam*F7/R7*gc*144)^0.5</f>
        <v>1231.13525699349</v>
      </c>
      <c r="U7">
        <f>T7/3.28</f>
        <v>375.34611493703966</v>
      </c>
      <c r="V7">
        <f>D7*T7</f>
        <v>590.0521384700213</v>
      </c>
      <c r="W7">
        <f>V7/3.28</f>
        <v>179.89394465549432</v>
      </c>
      <c r="Y7">
        <f>B7/L</f>
        <v>0.2639657970302659</v>
      </c>
      <c r="Z7">
        <f>D7</f>
        <v>0.47927482794292309</v>
      </c>
      <c r="AA7">
        <f>F7/$F$3</f>
        <v>0.91331526419243669</v>
      </c>
      <c r="AB7">
        <f>H7/$H$3</f>
        <v>0.93613306514271455</v>
      </c>
      <c r="AC7">
        <f>J7/$J$3</f>
        <v>0.99297436648397519</v>
      </c>
      <c r="AD7">
        <f>R7/$R$3</f>
        <v>0.91977728229420119</v>
      </c>
      <c r="AE7">
        <f>V7/$V$3</f>
        <v>1.0872197207411987</v>
      </c>
    </row>
    <row r="8" spans="2:31" x14ac:dyDescent="0.25">
      <c r="B8">
        <f>(1/Gam*(1/M_1^2-1/D8^2)+(Gam+1)/2/Gam*LN((M_1^2/D8^2)*(1+D8^2*(Gam-1)/2)/(1+M_1^2*(Gam-1)/2)))*D/f</f>
        <v>7.9520385204231694</v>
      </c>
      <c r="C8">
        <f>B8/3.28</f>
        <v>2.4244019879338934</v>
      </c>
      <c r="D8">
        <f>D7+0.01</f>
        <v>0.4892748279429231</v>
      </c>
      <c r="E8">
        <f>(Gam/Z/Rg)^0.5*D8*(1+D8^2*(Gam-1)/2)^(-(Gam+1)/2/(Gam-1))</f>
        <v>6.8881934648259466E-2</v>
      </c>
      <c r="F8">
        <f>H8/(1+(Gam-1)/2*D8^2)^(Gam/(Gam-1))</f>
        <v>116.36976778587366</v>
      </c>
      <c r="G8" s="21">
        <f>F8*6.89476</f>
        <v>802.3416201393303</v>
      </c>
      <c r="H8">
        <f>mdot*N8^0.5/A/E8/gc^0.5/144</f>
        <v>137.06534233367864</v>
      </c>
      <c r="I8" s="21">
        <f>H8*6.89476</f>
        <v>945.03263970855414</v>
      </c>
      <c r="J8">
        <f>N8/(1+(Gam-1)/2*D8^2)</f>
        <v>629.52940893117784</v>
      </c>
      <c r="K8">
        <f>J8/1.8</f>
        <v>349.73856051732099</v>
      </c>
      <c r="L8">
        <f>J8-'Example 7.3 - Pipe P2'!$C$8</f>
        <v>169.85940893117782</v>
      </c>
      <c r="M8">
        <f>K8-'Example 7.3 - Pipe P2'!$C$9</f>
        <v>76.588560517321014</v>
      </c>
      <c r="N8">
        <f>N7</f>
        <v>659.67000000000007</v>
      </c>
      <c r="O8">
        <f>O7</f>
        <v>366.48333333333335</v>
      </c>
      <c r="P8">
        <f>N8-'Example 7.3 - Pipe P2'!$C$8</f>
        <v>200.00000000000006</v>
      </c>
      <c r="Q8">
        <f>O8-'Example 7.3 - Pipe P2'!$C$9</f>
        <v>93.333333333333371</v>
      </c>
      <c r="R8">
        <f>F8/J8/Rg/Z*144</f>
        <v>0.49891641379062207</v>
      </c>
      <c r="S8">
        <f>R8*16.01846</f>
        <v>7.9918726176485286</v>
      </c>
      <c r="T8">
        <f>(Gam*F8/R8*gc*144)^0.5</f>
        <v>1229.9967969393726</v>
      </c>
      <c r="U8">
        <f>T8/3.28</f>
        <v>374.99902345712582</v>
      </c>
      <c r="V8">
        <f>D8*T8</f>
        <v>601.80647119285811</v>
      </c>
      <c r="W8">
        <f>V8/3.28</f>
        <v>183.47758268074944</v>
      </c>
      <c r="Y8">
        <f>B8/L</f>
        <v>0.3180815408169268</v>
      </c>
      <c r="Z8">
        <f>D8</f>
        <v>0.4892748279429231</v>
      </c>
      <c r="AA8">
        <f>F8/$F$3</f>
        <v>0.89382124870344115</v>
      </c>
      <c r="AB8">
        <f>H8/$H$3</f>
        <v>0.92210433070079945</v>
      </c>
      <c r="AC8">
        <f>J8/$J$3</f>
        <v>0.99113876156209835</v>
      </c>
      <c r="AD8">
        <f>R8/$R$3</f>
        <v>0.90181242361535885</v>
      </c>
      <c r="AE8">
        <f>V8/$V$3</f>
        <v>1.1088780480435259</v>
      </c>
    </row>
    <row r="9" spans="2:31" x14ac:dyDescent="0.25">
      <c r="B9">
        <f>(1/Gam*(1/M_1^2-1/D9^2)+(Gam+1)/2/Gam*LN((M_1^2/D9^2)*(1+D9^2*(Gam-1)/2)/(1+M_1^2*(Gam-1)/2)))*D/f</f>
        <v>9.2058486306881449</v>
      </c>
      <c r="C9">
        <f>B9/3.28</f>
        <v>2.8066611678927273</v>
      </c>
      <c r="D9">
        <f>D8+0.01</f>
        <v>0.49927482794292311</v>
      </c>
      <c r="E9">
        <f>(Gam/Z/Rg)^0.5*D9*(1+D9^2*(Gam-1)/2)^(-(Gam+1)/2/(Gam-1))</f>
        <v>6.9893407756648582E-2</v>
      </c>
      <c r="F9">
        <f>H9/(1+(Gam-1)/2*D9^2)^(Gam/(Gam-1))</f>
        <v>113.93156162106365</v>
      </c>
      <c r="G9" s="21">
        <f>F9*6.89476</f>
        <v>785.53077380244474</v>
      </c>
      <c r="H9">
        <f>mdot*N9^0.5/A/E9/gc^0.5/144</f>
        <v>135.08178033101643</v>
      </c>
      <c r="I9" s="21">
        <f>H9*6.89476</f>
        <v>931.35645575507885</v>
      </c>
      <c r="J9">
        <f>N9/(1+(Gam-1)/2*D9^2)</f>
        <v>628.34387180724639</v>
      </c>
      <c r="K9">
        <f>J9/1.8</f>
        <v>349.07992878180352</v>
      </c>
      <c r="L9">
        <f>J9-'Example 7.3 - Pipe P2'!$C$8</f>
        <v>168.67387180724637</v>
      </c>
      <c r="M9">
        <f>K9-'Example 7.3 - Pipe P2'!$C$9</f>
        <v>75.92992878180354</v>
      </c>
      <c r="N9">
        <f>N8</f>
        <v>659.67000000000007</v>
      </c>
      <c r="O9">
        <f>O8</f>
        <v>366.48333333333335</v>
      </c>
      <c r="P9">
        <f>N9-'Example 7.3 - Pipe P2'!$C$8</f>
        <v>200.00000000000006</v>
      </c>
      <c r="Q9">
        <f>O9-'Example 7.3 - Pipe P2'!$C$9</f>
        <v>93.333333333333371</v>
      </c>
      <c r="R9">
        <f>F9/J9/Rg/Z*144</f>
        <v>0.48938461704804315</v>
      </c>
      <c r="S9">
        <f>R9*16.01846</f>
        <v>7.8391879127993978</v>
      </c>
      <c r="T9">
        <f>(Gam*F9/R9*gc*144)^0.5</f>
        <v>1228.8380789989278</v>
      </c>
      <c r="U9">
        <f>T9/3.28</f>
        <v>374.64575579235606</v>
      </c>
      <c r="V9">
        <f>D9*T9</f>
        <v>613.52792046190189</v>
      </c>
      <c r="W9">
        <f>V9/3.28</f>
        <v>187.05119526277497</v>
      </c>
      <c r="Y9">
        <f>B9/L</f>
        <v>0.36823394522752578</v>
      </c>
      <c r="Z9">
        <f>D9</f>
        <v>0.49927482794292311</v>
      </c>
      <c r="AA9">
        <f>F9/$F$3</f>
        <v>0.87509370012882359</v>
      </c>
      <c r="AB9">
        <f>H9/$H$3</f>
        <v>0.90875995726746539</v>
      </c>
      <c r="AC9">
        <f>J9/$J$3</f>
        <v>0.98927223748851412</v>
      </c>
      <c r="AD9">
        <f>R9/$R$3</f>
        <v>0.88458329968951932</v>
      </c>
      <c r="AE9">
        <f>V9/$V$3</f>
        <v>1.1304757848706746</v>
      </c>
    </row>
    <row r="10" spans="2:31" x14ac:dyDescent="0.25">
      <c r="B10">
        <f>(1/Gam*(1/M_1^2-1/D10^2)+(Gam+1)/2/Gam*LN((M_1^2/D10^2)*(1+D10^2*(Gam-1)/2)/(1+M_1^2*(Gam-1)/2)))*D/f</f>
        <v>10.368713431671367</v>
      </c>
      <c r="C10">
        <f>B10/3.28</f>
        <v>3.1611931194120024</v>
      </c>
      <c r="D10">
        <f>D9+0.01</f>
        <v>0.50927482794292311</v>
      </c>
      <c r="E10">
        <f>(Gam/Z/Rg)^0.5*D10*(1+D10^2*(Gam-1)/2)^(-(Gam+1)/2/(Gam-1))</f>
        <v>7.0883950166125156E-2</v>
      </c>
      <c r="F10">
        <f>H10/(1+(Gam-1)/2*D10^2)^(Gam/(Gam-1))</f>
        <v>111.58728287801007</v>
      </c>
      <c r="G10" s="21">
        <f>F10*6.89476</f>
        <v>769.36753449598871</v>
      </c>
      <c r="H10">
        <f>mdot*N10^0.5/A/E10/gc^0.5/144</f>
        <v>133.19412830468488</v>
      </c>
      <c r="I10" s="21">
        <f>H10*6.89476</f>
        <v>918.34154807000914</v>
      </c>
      <c r="J10">
        <f>N10/(1+(Gam-1)/2*D10^2)</f>
        <v>627.13894213286619</v>
      </c>
      <c r="K10">
        <f>J10/1.8</f>
        <v>348.41052340714788</v>
      </c>
      <c r="L10">
        <f>J10-'Example 7.3 - Pipe P2'!$C$8</f>
        <v>167.46894213286618</v>
      </c>
      <c r="M10">
        <f>K10-'Example 7.3 - Pipe P2'!$C$9</f>
        <v>75.2605234071479</v>
      </c>
      <c r="N10">
        <f>N9</f>
        <v>659.67000000000007</v>
      </c>
      <c r="O10">
        <f>O9</f>
        <v>366.48333333333335</v>
      </c>
      <c r="P10">
        <f>N10-'Example 7.3 - Pipe P2'!$C$8</f>
        <v>200.00000000000006</v>
      </c>
      <c r="Q10">
        <f>O10-'Example 7.3 - Pipe P2'!$C$9</f>
        <v>93.333333333333371</v>
      </c>
      <c r="R10">
        <f>F10/J10/Rg/Z*144</f>
        <v>0.48023585429174681</v>
      </c>
      <c r="S10">
        <f>R10*16.01846</f>
        <v>7.692638822538175</v>
      </c>
      <c r="T10">
        <f>(Gam*F10/R10*gc*144)^0.5</f>
        <v>1227.659286577582</v>
      </c>
      <c r="U10">
        <f>T10/3.28</f>
        <v>374.28636785901892</v>
      </c>
      <c r="V10">
        <f>D10*T10</f>
        <v>625.21597194432979</v>
      </c>
      <c r="W10">
        <f>V10/3.28</f>
        <v>190.61462559278348</v>
      </c>
      <c r="Y10">
        <f>B10/L</f>
        <v>0.41474853726685468</v>
      </c>
      <c r="Z10">
        <f>D10</f>
        <v>0.50927482794292311</v>
      </c>
      <c r="AA10">
        <f>F10/$F$3</f>
        <v>0.85708759602384099</v>
      </c>
      <c r="AB10">
        <f>H10/$H$3</f>
        <v>0.89606081626872158</v>
      </c>
      <c r="AC10">
        <f>J10/$J$3</f>
        <v>0.9873751815475339</v>
      </c>
      <c r="AD10">
        <f>R10/$R$3</f>
        <v>0.86804652582062036</v>
      </c>
      <c r="AE10">
        <f>V10/$V$3</f>
        <v>1.1520119835220073</v>
      </c>
    </row>
    <row r="11" spans="2:31" x14ac:dyDescent="0.25">
      <c r="B11">
        <f>(1/Gam*(1/M_1^2-1/D11^2)+(Gam+1)/2/Gam*LN((M_1^2/D11^2)*(1+D11^2*(Gam-1)/2)/(1+M_1^2*(Gam-1)/2)))*D/f</f>
        <v>11.447979369869595</v>
      </c>
      <c r="C11">
        <f>B11/3.28</f>
        <v>3.4902376127651205</v>
      </c>
      <c r="D11">
        <f>D10+0.01</f>
        <v>0.51927482794292312</v>
      </c>
      <c r="E11">
        <f>(Gam/Z/Rg)^0.5*D11*(1+D11^2*(Gam-1)/2)^(-(Gam+1)/2/(Gam-1))</f>
        <v>7.1853424096046822E-2</v>
      </c>
      <c r="F11">
        <f>H11/(1+(Gam-1)/2*D11^2)^(Gam/(Gam-1))</f>
        <v>109.33152164624246</v>
      </c>
      <c r="G11" s="21">
        <f>F11*6.89476</f>
        <v>753.81460218564666</v>
      </c>
      <c r="H11">
        <f>mdot*N11^0.5/A/E11/gc^0.5/144</f>
        <v>131.39702208971278</v>
      </c>
      <c r="I11" s="21">
        <f>H11*6.89476</f>
        <v>905.95093202326802</v>
      </c>
      <c r="J11">
        <f>N11/(1+(Gam-1)/2*D11^2)</f>
        <v>625.91486844621625</v>
      </c>
      <c r="K11">
        <f>J11/1.8</f>
        <v>347.73048247012014</v>
      </c>
      <c r="L11">
        <f>J11-'Example 7.3 - Pipe P2'!$C$8</f>
        <v>166.24486844621623</v>
      </c>
      <c r="M11">
        <f>K11-'Example 7.3 - Pipe P2'!$C$9</f>
        <v>74.58048247012016</v>
      </c>
      <c r="N11">
        <f>N10</f>
        <v>659.67000000000007</v>
      </c>
      <c r="O11">
        <f>O10</f>
        <v>366.48333333333335</v>
      </c>
      <c r="P11">
        <f>N11-'Example 7.3 - Pipe P2'!$C$8</f>
        <v>200.00000000000006</v>
      </c>
      <c r="Q11">
        <f>O11-'Example 7.3 - Pipe P2'!$C$9</f>
        <v>93.333333333333371</v>
      </c>
      <c r="R11">
        <f>F11/J11/Rg/Z*144</f>
        <v>0.47144797199971278</v>
      </c>
      <c r="S11">
        <f>R11*16.01846</f>
        <v>7.5518704815585194</v>
      </c>
      <c r="T11">
        <f>(Gam*F11/R11*gc*144)^0.5</f>
        <v>1226.4606052939723</v>
      </c>
      <c r="U11">
        <f>T11/3.28</f>
        <v>373.92091624816231</v>
      </c>
      <c r="V11">
        <f>D11*T11</f>
        <v>636.87011979280078</v>
      </c>
      <c r="W11">
        <f>V11/3.28</f>
        <v>194.16771944902464</v>
      </c>
      <c r="Y11">
        <f>B11/L</f>
        <v>0.45791917479478378</v>
      </c>
      <c r="Z11">
        <f>D11</f>
        <v>0.51927482794292312</v>
      </c>
      <c r="AA11">
        <f>F11/$F$3</f>
        <v>0.83976138356060637</v>
      </c>
      <c r="AB11">
        <f>H11/$H$3</f>
        <v>0.88397082039273334</v>
      </c>
      <c r="AC11">
        <f>J11/$J$3</f>
        <v>0.98544798504069109</v>
      </c>
      <c r="AD11">
        <f>R11/$R$3</f>
        <v>0.85216205858488903</v>
      </c>
      <c r="AE11">
        <f>V11/$V$3</f>
        <v>1.1734857119320858</v>
      </c>
    </row>
    <row r="12" spans="2:31" x14ac:dyDescent="0.25">
      <c r="B12">
        <f>(1/Gam*(1/M_1^2-1/D12^2)+(Gam+1)/2/Gam*LN((M_1^2/D12^2)*(1+D12^2*(Gam-1)/2)/(1+M_1^2*(Gam-1)/2)))*D/f</f>
        <v>12.450290930093145</v>
      </c>
      <c r="C12">
        <f>B12/3.28</f>
        <v>3.7958204055162028</v>
      </c>
      <c r="D12">
        <f>D11+0.01</f>
        <v>0.52927482794292313</v>
      </c>
      <c r="E12">
        <f>(Gam/Z/Rg)^0.5*D12*(1+D12^2*(Gam-1)/2)^(-(Gam+1)/2/(Gam-1))</f>
        <v>7.2801704507617096E-2</v>
      </c>
      <c r="F12">
        <f>H12/(1+(Gam-1)/2*D12^2)^(Gam/(Gam-1))</f>
        <v>107.15927705681526</v>
      </c>
      <c r="G12" s="21">
        <f>F12*6.89476</f>
        <v>738.83749708024754</v>
      </c>
      <c r="H12">
        <f>mdot*N12^0.5/A/E12/gc^0.5/144</f>
        <v>129.68550691257423</v>
      </c>
      <c r="I12" s="21">
        <f>H12*6.89476</f>
        <v>894.15044564054028</v>
      </c>
      <c r="J12">
        <f>N12/(1+(Gam-1)/2*D12^2)</f>
        <v>624.67190171853554</v>
      </c>
      <c r="K12">
        <f>J12/1.8</f>
        <v>347.03994539918642</v>
      </c>
      <c r="L12">
        <f>J12-'Example 7.3 - Pipe P2'!$C$8</f>
        <v>165.00190171853552</v>
      </c>
      <c r="M12">
        <f>K12-'Example 7.3 - Pipe P2'!$C$9</f>
        <v>73.889945399186445</v>
      </c>
      <c r="N12">
        <f>N11</f>
        <v>659.67000000000007</v>
      </c>
      <c r="O12">
        <f>O11</f>
        <v>366.48333333333335</v>
      </c>
      <c r="P12">
        <f>N12-'Example 7.3 - Pipe P2'!$C$8</f>
        <v>200.00000000000006</v>
      </c>
      <c r="Q12">
        <f>O12-'Example 7.3 - Pipe P2'!$C$9</f>
        <v>93.333333333333371</v>
      </c>
      <c r="R12">
        <f>F12/J12/Rg/Z*144</f>
        <v>0.4630004905456801</v>
      </c>
      <c r="S12">
        <f>R12*16.01846</f>
        <v>7.4165548377863555</v>
      </c>
      <c r="T12">
        <f>(Gam*F12/R12*gc*144)^0.5</f>
        <v>1225.2422229046394</v>
      </c>
      <c r="U12">
        <f>T12/3.28</f>
        <v>373.54945820263401</v>
      </c>
      <c r="V12">
        <f>D12*T12</f>
        <v>648.48986671625767</v>
      </c>
      <c r="W12">
        <f>V12/3.28</f>
        <v>197.71032521837125</v>
      </c>
      <c r="Y12">
        <f>B12/L</f>
        <v>0.49801163720372577</v>
      </c>
      <c r="Z12">
        <f>D12</f>
        <v>0.52927482794292313</v>
      </c>
      <c r="AA12">
        <f>F12/$F$3</f>
        <v>0.82307665170667876</v>
      </c>
      <c r="AB12">
        <f>H12/$H$3</f>
        <v>0.87245663650037075</v>
      </c>
      <c r="AC12">
        <f>J12/$J$3</f>
        <v>0.98349104310015811</v>
      </c>
      <c r="AD12">
        <f>R12/$R$3</f>
        <v>0.8368928801956127</v>
      </c>
      <c r="AE12">
        <f>V12/$V$3</f>
        <v>1.1948960538011306</v>
      </c>
    </row>
    <row r="13" spans="2:31" x14ac:dyDescent="0.25">
      <c r="B13">
        <f>(1/Gam*(1/M_1^2-1/D13^2)+(Gam+1)/2/Gam*LN((M_1^2/D13^2)*(1+D13^2*(Gam-1)/2)/(1+M_1^2*(Gam-1)/2)))*D/f</f>
        <v>13.381668795175882</v>
      </c>
      <c r="C13">
        <f>B13/3.28</f>
        <v>4.0797770716999642</v>
      </c>
      <c r="D13">
        <f>D12+0.01</f>
        <v>0.53927482794292314</v>
      </c>
      <c r="E13">
        <f>(Gam/Z/Rg)^0.5*D13*(1+D13^2*(Gam-1)/2)^(-(Gam+1)/2/(Gam-1))</f>
        <v>7.3728679025178143E-2</v>
      </c>
      <c r="F13">
        <f>H13/(1+(Gam-1)/2*D13^2)^(Gam/(Gam-1))</f>
        <v>105.06591935068025</v>
      </c>
      <c r="G13" s="21">
        <f>F13*6.89476</f>
        <v>724.40429810229614</v>
      </c>
      <c r="H13">
        <f>mdot*N13^0.5/A/E13/gc^0.5/144</f>
        <v>128.05499946561605</v>
      </c>
      <c r="I13" s="21">
        <f>H13*6.89476</f>
        <v>882.90848811555088</v>
      </c>
      <c r="J13">
        <f>N13/(1+(Gam-1)/2*D13^2)</f>
        <v>623.41029523560178</v>
      </c>
      <c r="K13">
        <f>J13/1.8</f>
        <v>346.33905290866767</v>
      </c>
      <c r="L13">
        <f>J13-'Example 7.3 - Pipe P2'!$C$8</f>
        <v>163.74029523560176</v>
      </c>
      <c r="M13">
        <f>K13-'Example 7.3 - Pipe P2'!$C$9</f>
        <v>73.189052908667691</v>
      </c>
      <c r="N13">
        <f>N12</f>
        <v>659.67000000000007</v>
      </c>
      <c r="O13">
        <f>O12</f>
        <v>366.48333333333335</v>
      </c>
      <c r="P13">
        <f>N13-'Example 7.3 - Pipe P2'!$C$8</f>
        <v>200.00000000000006</v>
      </c>
      <c r="Q13">
        <f>O13-'Example 7.3 - Pipe P2'!$C$9</f>
        <v>93.333333333333371</v>
      </c>
      <c r="R13">
        <f>F13/J13/Rg/Z*144</f>
        <v>0.45487444900641566</v>
      </c>
      <c r="S13">
        <f>R13*16.01846</f>
        <v>7.2863881664313093</v>
      </c>
      <c r="T13">
        <f>(Gam*F13/R13*gc*144)^0.5</f>
        <v>1224.0043292285081</v>
      </c>
      <c r="U13">
        <f>T13/3.28</f>
        <v>373.17205159405739</v>
      </c>
      <c r="V13">
        <f>D13*T13</f>
        <v>660.07472404609678</v>
      </c>
      <c r="W13">
        <f>V13/3.28</f>
        <v>201.24229391649294</v>
      </c>
      <c r="Y13">
        <f>B13/L</f>
        <v>0.53526675180703531</v>
      </c>
      <c r="Z13">
        <f>D13</f>
        <v>0.53927482794292314</v>
      </c>
      <c r="AA13">
        <f>F13/$F$3</f>
        <v>0.80699783987710239</v>
      </c>
      <c r="AB13">
        <f>H13/$H$3</f>
        <v>0.8614874304816833</v>
      </c>
      <c r="AC13">
        <f>J13/$J$3</f>
        <v>0.98150475450214547</v>
      </c>
      <c r="AD13">
        <f>R13/$R$3</f>
        <v>0.82220471798574302</v>
      </c>
      <c r="AE13">
        <f>V13/$V$3</f>
        <v>1.2162421087169442</v>
      </c>
    </row>
    <row r="14" spans="2:31" x14ac:dyDescent="0.25">
      <c r="B14">
        <f>(1/Gam*(1/M_1^2-1/D14^2)+(Gam+1)/2/Gam*LN((M_1^2/D14^2)*(1+D14^2*(Gam-1)/2)/(1+M_1^2*(Gam-1)/2)))*D/f</f>
        <v>14.247578079245029</v>
      </c>
      <c r="C14">
        <f>B14/3.28</f>
        <v>4.3437738046478751</v>
      </c>
      <c r="D14">
        <f>D13+0.01</f>
        <v>0.54927482794292315</v>
      </c>
      <c r="E14">
        <f>(Gam/Z/Rg)^0.5*D14*(1+D14^2*(Gam-1)/2)^(-(Gam+1)/2/(Gam-1))</f>
        <v>7.4634247845863838E-2</v>
      </c>
      <c r="F14">
        <f>H14/(1+(Gam-1)/2*D14^2)^(Gam/(Gam-1))</f>
        <v>103.04715609050396</v>
      </c>
      <c r="G14" s="21">
        <f>F14*6.89476</f>
        <v>710.48540992656308</v>
      </c>
      <c r="H14">
        <f>mdot*N14^0.5/A/E14/gc^0.5/144</f>
        <v>126.5012541248916</v>
      </c>
      <c r="I14" s="21">
        <f>H14*6.89476</f>
        <v>872.19578689013758</v>
      </c>
      <c r="J14">
        <f>N14/(1+(Gam-1)/2*D14^2)</f>
        <v>622.13030447929577</v>
      </c>
      <c r="K14">
        <f>J14/1.8</f>
        <v>345.62794693294211</v>
      </c>
      <c r="L14">
        <f>J14-'Example 7.3 - Pipe P2'!$C$8</f>
        <v>162.46030447929576</v>
      </c>
      <c r="M14">
        <f>K14-'Example 7.3 - Pipe P2'!$C$9</f>
        <v>72.477946932942132</v>
      </c>
      <c r="N14">
        <f>N13</f>
        <v>659.67000000000007</v>
      </c>
      <c r="O14">
        <f>O13</f>
        <v>366.48333333333335</v>
      </c>
      <c r="P14">
        <f>N14-'Example 7.3 - Pipe P2'!$C$8</f>
        <v>200.00000000000006</v>
      </c>
      <c r="Q14">
        <f>O14-'Example 7.3 - Pipe P2'!$C$9</f>
        <v>93.333333333333371</v>
      </c>
      <c r="R14">
        <f>F14/J14/Rg/Z*144</f>
        <v>0.44705226692149214</v>
      </c>
      <c r="S14">
        <f>R14*16.01846</f>
        <v>7.1610888555912453</v>
      </c>
      <c r="T14">
        <f>(Gam*F14/R14*gc*144)^0.5</f>
        <v>1222.7471160712075</v>
      </c>
      <c r="U14">
        <f>T14/3.28</f>
        <v>372.78875489975843</v>
      </c>
      <c r="V14">
        <f>D14*T14</f>
        <v>671.62421179771798</v>
      </c>
      <c r="W14">
        <f>V14/3.28</f>
        <v>204.76347920662135</v>
      </c>
      <c r="Y14">
        <f>B14/L</f>
        <v>0.56990312316980118</v>
      </c>
      <c r="Z14">
        <f>D14</f>
        <v>0.54927482794292315</v>
      </c>
      <c r="AA14">
        <f>F14/$F$3</f>
        <v>0.79149197841171204</v>
      </c>
      <c r="AB14">
        <f>H14/$H$3</f>
        <v>0.85103463998705686</v>
      </c>
      <c r="AC14">
        <f>J14/$J$3</f>
        <v>0.97948952148043489</v>
      </c>
      <c r="AD14">
        <f>R14/$R$3</f>
        <v>0.80806579453287397</v>
      </c>
      <c r="AE14">
        <f>V14/$V$3</f>
        <v>1.2375229922683213</v>
      </c>
    </row>
    <row r="15" spans="2:31" x14ac:dyDescent="0.25">
      <c r="B15">
        <f>(1/Gam*(1/M_1^2-1/D15^2)+(Gam+1)/2/Gam*LN((M_1^2/D15^2)*(1+D15^2*(Gam-1)/2)/(1+M_1^2*(Gam-1)/2)))*D/f</f>
        <v>15.052988046698225</v>
      </c>
      <c r="C15">
        <f>B15/3.28</f>
        <v>4.5893256239933615</v>
      </c>
      <c r="D15">
        <f>D14+0.01</f>
        <v>0.55927482794292316</v>
      </c>
      <c r="E15">
        <f>(Gam/Z/Rg)^0.5*D15*(1+D15^2*(Gam-1)/2)^(-(Gam+1)/2/(Gam-1))</f>
        <v>7.5518323637936619E-2</v>
      </c>
      <c r="F15">
        <f>H15/(1+(Gam-1)/2*D15^2)^(Gam/(Gam-1))</f>
        <v>101.09900199733315</v>
      </c>
      <c r="G15" s="21">
        <f>F15*6.89476</f>
        <v>697.05335501113268</v>
      </c>
      <c r="H15">
        <f>mdot*N15^0.5/A/E15/gc^0.5/144</f>
        <v>125.02033279280732</v>
      </c>
      <c r="I15" s="21">
        <f>H15*6.89476</f>
        <v>861.98518972653619</v>
      </c>
      <c r="J15">
        <f>N15/(1+(Gam-1)/2*D15^2)</f>
        <v>620.83218700933992</v>
      </c>
      <c r="K15">
        <f>J15/1.8</f>
        <v>344.90677056074441</v>
      </c>
      <c r="L15">
        <f>J15-'Example 7.3 - Pipe P2'!$C$8</f>
        <v>161.1621870093399</v>
      </c>
      <c r="M15">
        <f>K15-'Example 7.3 - Pipe P2'!$C$9</f>
        <v>71.756770560744428</v>
      </c>
      <c r="N15">
        <f>N14</f>
        <v>659.67000000000007</v>
      </c>
      <c r="O15">
        <f>O14</f>
        <v>366.48333333333335</v>
      </c>
      <c r="P15">
        <f>N15-'Example 7.3 - Pipe P2'!$C$8</f>
        <v>200.00000000000006</v>
      </c>
      <c r="Q15">
        <f>O15-'Example 7.3 - Pipe P2'!$C$9</f>
        <v>93.333333333333371</v>
      </c>
      <c r="R15">
        <f>F15/J15/Rg/Z*144</f>
        <v>0.43951762088376511</v>
      </c>
      <c r="S15">
        <f>R15*16.01846</f>
        <v>7.040395429421757</v>
      </c>
      <c r="T15">
        <f>(Gam*F15/R15*gc*144)^0.5</f>
        <v>1221.4707771492874</v>
      </c>
      <c r="U15">
        <f>T15/3.28</f>
        <v>372.3996271796608</v>
      </c>
      <c r="V15">
        <f>D15*T15</f>
        <v>683.13785872747633</v>
      </c>
      <c r="W15">
        <f>V15/3.28</f>
        <v>208.27373741691352</v>
      </c>
      <c r="Y15">
        <f>B15/L</f>
        <v>0.60211952186792894</v>
      </c>
      <c r="Z15">
        <f>D15</f>
        <v>0.55927482794292316</v>
      </c>
      <c r="AA15">
        <f>F15/$F$3</f>
        <v>0.77652845689443317</v>
      </c>
      <c r="AB15">
        <f>H15/$H$3</f>
        <v>0.8410717715442253</v>
      </c>
      <c r="AC15">
        <f>J15/$J$3</f>
        <v>0.97744574954018726</v>
      </c>
      <c r="AD15">
        <f>R15/$R$3</f>
        <v>0.79444660459133387</v>
      </c>
      <c r="AE15">
        <f>V15/$V$3</f>
        <v>1.2587378361499872</v>
      </c>
    </row>
    <row r="16" spans="2:31" x14ac:dyDescent="0.25">
      <c r="B16">
        <f>(1/Gam*(1/M_1^2-1/D16^2)+(Gam+1)/2/Gam*LN((M_1^2/D16^2)*(1+D16^2*(Gam-1)/2)/(1+M_1^2*(Gam-1)/2)))*D/f</f>
        <v>15.802424507237758</v>
      </c>
      <c r="C16">
        <f>B16/3.28</f>
        <v>4.8178123497676095</v>
      </c>
      <c r="D16">
        <f>D15+0.01</f>
        <v>0.56927482794292317</v>
      </c>
      <c r="E16">
        <f>(Gam/Z/Rg)^0.5*D16*(1+D16^2*(Gam-1)/2)^(-(Gam+1)/2/(Gam-1))</f>
        <v>7.6380831428146168E-2</v>
      </c>
      <c r="F16">
        <f>H16/(1+(Gam-1)/2*D16^2)^(Gam/(Gam-1))</f>
        <v>99.217751966388221</v>
      </c>
      <c r="G16" s="21">
        <f>F16*6.89476</f>
        <v>684.08258754777478</v>
      </c>
      <c r="H16">
        <f>mdot*N16^0.5/A/E16/gc^0.5/144</f>
        <v>123.60857791986086</v>
      </c>
      <c r="I16" s="21">
        <f>H16*6.89476</f>
        <v>852.2514786987399</v>
      </c>
      <c r="J16">
        <f>N16/(1+(Gam-1)/2*D16^2)</f>
        <v>619.51620234530333</v>
      </c>
      <c r="K16">
        <f>J16/1.8</f>
        <v>344.17566796961296</v>
      </c>
      <c r="L16">
        <f>J16-'Example 7.3 - Pipe P2'!$C$8</f>
        <v>159.84620234530331</v>
      </c>
      <c r="M16">
        <f>K16-'Example 7.3 - Pipe P2'!$C$9</f>
        <v>71.025667969612982</v>
      </c>
      <c r="N16">
        <f>N15</f>
        <v>659.67000000000007</v>
      </c>
      <c r="O16">
        <f>O15</f>
        <v>366.48333333333335</v>
      </c>
      <c r="P16">
        <f>N16-'Example 7.3 - Pipe P2'!$C$8</f>
        <v>200.00000000000006</v>
      </c>
      <c r="Q16">
        <f>O16-'Example 7.3 - Pipe P2'!$C$9</f>
        <v>93.333333333333371</v>
      </c>
      <c r="R16">
        <f>F16/J16/Rg/Z*144</f>
        <v>0.43225533413691103</v>
      </c>
      <c r="S16">
        <f>R16*16.01846</f>
        <v>6.9240647796587442</v>
      </c>
      <c r="T16">
        <f>(Gam*F16/R16*gc*144)^0.5</f>
        <v>1220.1755080143798</v>
      </c>
      <c r="U16">
        <f>T16/3.28</f>
        <v>372.00472805316463</v>
      </c>
      <c r="V16">
        <f>D16*T16</f>
        <v>694.615202385055</v>
      </c>
      <c r="W16">
        <f>V16/3.28</f>
        <v>211.77292755641923</v>
      </c>
      <c r="Y16">
        <f>B16/L</f>
        <v>0.63209698028951034</v>
      </c>
      <c r="Z16">
        <f>D16</f>
        <v>0.56927482794292317</v>
      </c>
      <c r="AA16">
        <f>F16/$F$3</f>
        <v>0.76207881689105517</v>
      </c>
      <c r="AB16">
        <f>H16/$H$3</f>
        <v>0.83157421906255746</v>
      </c>
      <c r="AC16">
        <f>J16/$J$3</f>
        <v>0.97537384727217025</v>
      </c>
      <c r="AD16">
        <f>R16/$R$3</f>
        <v>0.78131971553508683</v>
      </c>
      <c r="AE16">
        <f>V16/$V$3</f>
        <v>1.2798857882590997</v>
      </c>
    </row>
    <row r="17" spans="2:31" x14ac:dyDescent="0.25">
      <c r="B17">
        <f>(1/Gam*(1/M_1^2-1/D17^2)+(Gam+1)/2/Gam*LN((M_1^2/D17^2)*(1+D17^2*(Gam-1)/2)/(1+M_1^2*(Gam-1)/2)))*D/f</f>
        <v>16.500015893531515</v>
      </c>
      <c r="C17">
        <f>B17/3.28</f>
        <v>5.0304926504669254</v>
      </c>
      <c r="D17">
        <f>D16+0.01</f>
        <v>0.57927482794292318</v>
      </c>
      <c r="E17">
        <f>(Gam/Z/Rg)^0.5*D17*(1+D17^2*(Gam-1)/2)^(-(Gam+1)/2/(Gam-1))</f>
        <v>7.7221708478458828E-2</v>
      </c>
      <c r="F17">
        <f>H17/(1+(Gam-1)/2*D17^2)^(Gam/(Gam-1))</f>
        <v>97.39995687782077</v>
      </c>
      <c r="G17" s="21">
        <f>F17*6.89476</f>
        <v>671.54932668292349</v>
      </c>
      <c r="H17">
        <f>mdot*N17^0.5/A/E17/gc^0.5/144</f>
        <v>122.26258832130662</v>
      </c>
      <c r="I17" s="21">
        <f>H17*6.89476</f>
        <v>842.97120345421206</v>
      </c>
      <c r="J17">
        <f>N17/(1+(Gam-1)/2*D17^2)</f>
        <v>618.18261184896369</v>
      </c>
      <c r="K17">
        <f>J17/1.8</f>
        <v>343.43478436053539</v>
      </c>
      <c r="L17">
        <f>J17-'Example 7.3 - Pipe P2'!$C$8</f>
        <v>158.51261184896367</v>
      </c>
      <c r="M17">
        <f>K17-'Example 7.3 - Pipe P2'!$C$9</f>
        <v>70.284784360535411</v>
      </c>
      <c r="N17">
        <f>N16</f>
        <v>659.67000000000007</v>
      </c>
      <c r="O17">
        <f>O16</f>
        <v>366.48333333333335</v>
      </c>
      <c r="P17">
        <f>N17-'Example 7.3 - Pipe P2'!$C$8</f>
        <v>200.00000000000006</v>
      </c>
      <c r="Q17">
        <f>O17-'Example 7.3 - Pipe P2'!$C$9</f>
        <v>93.333333333333371</v>
      </c>
      <c r="R17">
        <f>F17/J17/Rg/Z*144</f>
        <v>0.42525127760823733</v>
      </c>
      <c r="S17">
        <f>R17*16.01846</f>
        <v>6.8118705803164454</v>
      </c>
      <c r="T17">
        <f>(Gam*F17/R17*gc*144)^0.5</f>
        <v>1218.8615059773615</v>
      </c>
      <c r="U17">
        <f>T17/3.28</f>
        <v>371.60411767602488</v>
      </c>
      <c r="V17">
        <f>D17*T17</f>
        <v>706.05578916128832</v>
      </c>
      <c r="W17">
        <f>V17/3.28</f>
        <v>215.2609113296611</v>
      </c>
      <c r="Y17">
        <f>B17/L</f>
        <v>0.66000063574126056</v>
      </c>
      <c r="Z17">
        <f>D17</f>
        <v>0.57927482794292318</v>
      </c>
      <c r="AA17">
        <f>F17/$F$3</f>
        <v>0.74811656615476396</v>
      </c>
      <c r="AB17">
        <f>H17/$H$3</f>
        <v>0.82251910114016102</v>
      </c>
      <c r="AC17">
        <f>J17/$J$3</f>
        <v>0.97327422616754677</v>
      </c>
      <c r="AD17">
        <f>R17/$R$3</f>
        <v>0.76865958847036975</v>
      </c>
      <c r="AE17">
        <f>V17/$V$3</f>
        <v>1.3009660127833667</v>
      </c>
    </row>
    <row r="18" spans="2:31" x14ac:dyDescent="0.25">
      <c r="B18">
        <f>(1/Gam*(1/M_1^2-1/D18^2)+(Gam+1)/2/Gam*LN((M_1^2/D18^2)*(1+D18^2*(Gam-1)/2)/(1+M_1^2*(Gam-1)/2)))*D/f</f>
        <v>17.149533875261575</v>
      </c>
      <c r="C18">
        <f>B18/3.28</f>
        <v>5.228516425384627</v>
      </c>
      <c r="D18">
        <f>D17+0.01</f>
        <v>0.58927482794292319</v>
      </c>
      <c r="E18">
        <f>(Gam/Z/Rg)^0.5*D18*(1+D18^2*(Gam-1)/2)^(-(Gam+1)/2/(Gam-1))</f>
        <v>7.804090415251623E-2</v>
      </c>
      <c r="F18">
        <f>H18/(1+(Gam-1)/2*D18^2)^(Gam/(Gam-1))</f>
        <v>95.642401870425005</v>
      </c>
      <c r="G18" s="21">
        <f>F18*6.89476</f>
        <v>659.43140672013146</v>
      </c>
      <c r="H18">
        <f>mdot*N18^0.5/A/E18/gc^0.5/144</f>
        <v>120.97919745673977</v>
      </c>
      <c r="I18" s="21">
        <f>H18*6.89476</f>
        <v>834.1225314568311</v>
      </c>
      <c r="J18">
        <f>N18/(1+(Gam-1)/2*D18^2)</f>
        <v>616.83167860711137</v>
      </c>
      <c r="K18">
        <f>J18/1.8</f>
        <v>342.68426589283962</v>
      </c>
      <c r="L18">
        <f>J18-'Example 7.3 - Pipe P2'!$C$8</f>
        <v>157.16167860711136</v>
      </c>
      <c r="M18">
        <f>K18-'Example 7.3 - Pipe P2'!$C$9</f>
        <v>69.534265892839642</v>
      </c>
      <c r="N18">
        <f>N17</f>
        <v>659.67000000000007</v>
      </c>
      <c r="O18">
        <f>O17</f>
        <v>366.48333333333335</v>
      </c>
      <c r="P18">
        <f>N18-'Example 7.3 - Pipe P2'!$C$8</f>
        <v>200.00000000000006</v>
      </c>
      <c r="Q18">
        <f>O18-'Example 7.3 - Pipe P2'!$C$9</f>
        <v>93.333333333333371</v>
      </c>
      <c r="R18">
        <f>F18/J18/Rg/Z*144</f>
        <v>0.41849228101836883</v>
      </c>
      <c r="S18">
        <f>R18*16.01846</f>
        <v>6.7036018638015005</v>
      </c>
      <c r="T18">
        <f>(Gam*F18/R18*gc*144)^0.5</f>
        <v>1217.528970032565</v>
      </c>
      <c r="U18">
        <f>T18/3.28</f>
        <v>371.19785671724543</v>
      </c>
      <c r="V18">
        <f>D18*T18</f>
        <v>717.45917433146417</v>
      </c>
      <c r="W18">
        <f>V18/3.28</f>
        <v>218.73755314983666</v>
      </c>
      <c r="Y18">
        <f>B18/L</f>
        <v>0.68598135501046298</v>
      </c>
      <c r="Z18">
        <f>D18</f>
        <v>0.58927482794292319</v>
      </c>
      <c r="AA18">
        <f>F18/$F$3</f>
        <v>0.73461701174930982</v>
      </c>
      <c r="AB18">
        <f>H18/$H$3</f>
        <v>0.81388511494022164</v>
      </c>
      <c r="AC18">
        <f>J18/$J$3</f>
        <v>0.97114730043336084</v>
      </c>
      <c r="AD18">
        <f>R18/$R$3</f>
        <v>0.75644241756270891</v>
      </c>
      <c r="AE18">
        <f>V18/$V$3</f>
        <v>1.3219776902808338</v>
      </c>
    </row>
    <row r="19" spans="2:31" x14ac:dyDescent="0.25">
      <c r="B19">
        <f>(1/Gam*(1/M_1^2-1/D19^2)+(Gam+1)/2/Gam*LN((M_1^2/D19^2)*(1+D19^2*(Gam-1)/2)/(1+M_1^2*(Gam-1)/2)))*D/f</f>
        <v>17.754429235841634</v>
      </c>
      <c r="C19">
        <f>B19/3.28</f>
        <v>5.4129357426346445</v>
      </c>
      <c r="D19">
        <f>D18+0.01</f>
        <v>0.59927482794292319</v>
      </c>
      <c r="E19">
        <f>(Gam/Z/Rg)^0.5*D19*(1+D19^2*(Gam-1)/2)^(-(Gam+1)/2/(Gam-1))</f>
        <v>7.8838379772191228E-2</v>
      </c>
      <c r="F19">
        <f>H19/(1+(Gam-1)/2*D19^2)^(Gam/(Gam-1))</f>
        <v>93.942086790615491</v>
      </c>
      <c r="G19" s="21">
        <f>F19*6.89476</f>
        <v>647.70814232046405</v>
      </c>
      <c r="H19">
        <f>mdot*N19^0.5/A/E19/gc^0.5/144</f>
        <v>119.7554538849112</v>
      </c>
      <c r="I19" s="21">
        <f>H19*6.89476</f>
        <v>825.68511322753034</v>
      </c>
      <c r="J19">
        <f>N19/(1+(Gam-1)/2*D19^2)</f>
        <v>615.46366731488126</v>
      </c>
      <c r="K19">
        <f>J19/1.8</f>
        <v>341.92425961937846</v>
      </c>
      <c r="L19">
        <f>J19-'Example 7.3 - Pipe P2'!$C$8</f>
        <v>155.79366731488125</v>
      </c>
      <c r="M19">
        <f>K19-'Example 7.3 - Pipe P2'!$C$9</f>
        <v>68.774259619378483</v>
      </c>
      <c r="N19">
        <f>N18</f>
        <v>659.67000000000007</v>
      </c>
      <c r="O19">
        <f>O18</f>
        <v>366.48333333333335</v>
      </c>
      <c r="P19">
        <f>N19-'Example 7.3 - Pipe P2'!$C$8</f>
        <v>200.00000000000006</v>
      </c>
      <c r="Q19">
        <f>O19-'Example 7.3 - Pipe P2'!$C$9</f>
        <v>93.333333333333371</v>
      </c>
      <c r="R19">
        <f>F19/J19/Rg/Z*144</f>
        <v>0.41196605289074961</v>
      </c>
      <c r="S19">
        <f>R19*16.01846</f>
        <v>6.5990617395883575</v>
      </c>
      <c r="T19">
        <f>(Gam*F19/R19*gc*144)^0.5</f>
        <v>1216.1781007820896</v>
      </c>
      <c r="U19">
        <f>T19/3.28</f>
        <v>370.78600633600297</v>
      </c>
      <c r="V19">
        <f>D19*T19</f>
        <v>728.82492209413783</v>
      </c>
      <c r="W19">
        <f>V19/3.28</f>
        <v>222.2027201506518</v>
      </c>
      <c r="Y19">
        <f>B19/L</f>
        <v>0.71017716943366538</v>
      </c>
      <c r="Z19">
        <f>D19</f>
        <v>0.59927482794292319</v>
      </c>
      <c r="AA19">
        <f>F19/$F$3</f>
        <v>0.7215571098801139</v>
      </c>
      <c r="AB19">
        <f>H19/$H$3</f>
        <v>0.80565240470116428</v>
      </c>
      <c r="AC19">
        <f>J19/$J$3</f>
        <v>0.96899348680885367</v>
      </c>
      <c r="AD19">
        <f>R19/$R$3</f>
        <v>0.74464598545072613</v>
      </c>
      <c r="AE19">
        <f>V19/$V$3</f>
        <v>1.3429200177514031</v>
      </c>
    </row>
    <row r="20" spans="2:31" x14ac:dyDescent="0.25">
      <c r="B20">
        <f>(1/Gam*(1/M_1^2-1/D20^2)+(Gam+1)/2/Gam*LN((M_1^2/D20^2)*(1+D20^2*(Gam-1)/2)/(1+M_1^2*(Gam-1)/2)))*D/f</f>
        <v>18.317863631392598</v>
      </c>
      <c r="C20">
        <f>B20/3.28</f>
        <v>5.5847145217660366</v>
      </c>
      <c r="D20">
        <f>D19+0.01</f>
        <v>0.6092748279429232</v>
      </c>
      <c r="E20">
        <f>(Gam/Z/Rg)^0.5*D20*(1+D20^2*(Gam-1)/2)^(-(Gam+1)/2/(Gam-1))</f>
        <v>7.9614108464618721E-2</v>
      </c>
      <c r="F20">
        <f>H20/(1+(Gam-1)/2*D20^2)^(Gam/(Gam-1))</f>
        <v>92.296208566755737</v>
      </c>
      <c r="G20" s="21">
        <f>F20*6.89476</f>
        <v>636.36020697772472</v>
      </c>
      <c r="H20">
        <f>mdot*N20^0.5/A/E20/gc^0.5/144</f>
        <v>118.58860364385767</v>
      </c>
      <c r="I20" s="21">
        <f>H20*6.89476</f>
        <v>817.63996085952408</v>
      </c>
      <c r="J20">
        <f>N20/(1+(Gam-1)/2*D20^2)</f>
        <v>614.07884415969772</v>
      </c>
      <c r="K20">
        <f>J20/1.8</f>
        <v>341.15491342205428</v>
      </c>
      <c r="L20">
        <f>J20-'Example 7.3 - Pipe P2'!$C$8</f>
        <v>154.40884415969771</v>
      </c>
      <c r="M20">
        <f>K20-'Example 7.3 - Pipe P2'!$C$9</f>
        <v>68.004913422054301</v>
      </c>
      <c r="N20">
        <f>N19</f>
        <v>659.67000000000007</v>
      </c>
      <c r="O20">
        <f>O19</f>
        <v>366.48333333333335</v>
      </c>
      <c r="P20">
        <f>N20-'Example 7.3 - Pipe P2'!$C$8</f>
        <v>200.00000000000006</v>
      </c>
      <c r="Q20">
        <f>O20-'Example 7.3 - Pipe P2'!$C$9</f>
        <v>93.333333333333371</v>
      </c>
      <c r="R20">
        <f>F20/J20/Rg/Z*144</f>
        <v>0.40566110843844611</v>
      </c>
      <c r="S20">
        <f>R20*16.01846</f>
        <v>6.4980662390769117</v>
      </c>
      <c r="T20">
        <f>(Gam*F20/R20*gc*144)^0.5</f>
        <v>1214.8091003602642</v>
      </c>
      <c r="U20">
        <f>T20/3.28</f>
        <v>370.36862815861718</v>
      </c>
      <c r="V20">
        <f>D20*T20</f>
        <v>740.15260560549734</v>
      </c>
      <c r="W20">
        <f>V20/3.28</f>
        <v>225.65628219679797</v>
      </c>
      <c r="Y20">
        <f>B20/L</f>
        <v>0.7327145452557039</v>
      </c>
      <c r="Z20">
        <f>D20</f>
        <v>0.6092748279429232</v>
      </c>
      <c r="AA20">
        <f>F20/$F$3</f>
        <v>0.708915330513749</v>
      </c>
      <c r="AB20">
        <f>H20/$H$3</f>
        <v>0.7978024431993328</v>
      </c>
      <c r="AC20">
        <f>J20/$J$3</f>
        <v>0.96681320438274509</v>
      </c>
      <c r="AD20">
        <f>R20/$R$3</f>
        <v>0.73324953289849915</v>
      </c>
      <c r="AE20">
        <f>V20/$V$3</f>
        <v>1.3637922087001537</v>
      </c>
    </row>
    <row r="21" spans="2:31" x14ac:dyDescent="0.25">
      <c r="B21">
        <f>(1/Gam*(1/M_1^2-1/D21^2)+(Gam+1)/2/Gam*LN((M_1^2/D21^2)*(1+D21^2*(Gam-1)/2)/(1+M_1^2*(Gam-1)/2)))*D/f</f>
        <v>18.842737761994567</v>
      </c>
      <c r="C21">
        <f>B21/3.28</f>
        <v>5.7447371225593198</v>
      </c>
      <c r="D21">
        <f>D20+0.01</f>
        <v>0.61927482794292321</v>
      </c>
      <c r="E21">
        <f>(Gam/Z/Rg)^0.5*D21*(1+D21^2*(Gam-1)/2)^(-(Gam+1)/2/(Gam-1))</f>
        <v>8.036807500008418E-2</v>
      </c>
      <c r="F21">
        <f>H21/(1+(Gam-1)/2*D21^2)^(Gam/(Gam-1))</f>
        <v>90.702145291209575</v>
      </c>
      <c r="G21" s="21">
        <f>F21*6.89476</f>
        <v>625.36952326802009</v>
      </c>
      <c r="H21">
        <f>mdot*N21^0.5/A/E21/gc^0.5/144</f>
        <v>117.47607433872064</v>
      </c>
      <c r="I21" s="21">
        <f>H21*6.89476</f>
        <v>809.96933830763749</v>
      </c>
      <c r="J21">
        <f>N21/(1+(Gam-1)/2*D21^2)</f>
        <v>612.67747670591041</v>
      </c>
      <c r="K21">
        <f>J21/1.8</f>
        <v>340.37637594772798</v>
      </c>
      <c r="L21">
        <f>J21-'Example 7.3 - Pipe P2'!$C$8</f>
        <v>153.00747670591039</v>
      </c>
      <c r="M21">
        <f>K21-'Example 7.3 - Pipe P2'!$C$9</f>
        <v>67.226375947728002</v>
      </c>
      <c r="N21">
        <f>N20</f>
        <v>659.67000000000007</v>
      </c>
      <c r="O21">
        <f>O20</f>
        <v>366.48333333333335</v>
      </c>
      <c r="P21">
        <f>N21-'Example 7.3 - Pipe P2'!$C$8</f>
        <v>200.00000000000006</v>
      </c>
      <c r="Q21">
        <f>O21-'Example 7.3 - Pipe P2'!$C$9</f>
        <v>93.333333333333371</v>
      </c>
      <c r="R21">
        <f>F21/J21/Rg/Z*144</f>
        <v>0.39956670443784209</v>
      </c>
      <c r="S21">
        <f>R21*16.01846</f>
        <v>6.4004432723693965</v>
      </c>
      <c r="T21">
        <f>(Gam*F21/R21*gc*144)^0.5</f>
        <v>1213.4221723583059</v>
      </c>
      <c r="U21">
        <f>T21/3.28</f>
        <v>369.94578425558109</v>
      </c>
      <c r="V21">
        <f>D21*T21</f>
        <v>751.44180700931804</v>
      </c>
      <c r="W21">
        <f>V21/3.28</f>
        <v>229.09811189308479</v>
      </c>
      <c r="Y21">
        <f>B21/L</f>
        <v>0.75370951047978263</v>
      </c>
      <c r="Z21">
        <f>D21</f>
        <v>0.61927482794292321</v>
      </c>
      <c r="AA21">
        <f>F21/$F$3</f>
        <v>0.69667153511421975</v>
      </c>
      <c r="AB21">
        <f>H21/$H$3</f>
        <v>0.79031792470011231</v>
      </c>
      <c r="AC21">
        <f>J21/$J$3</f>
        <v>0.96460687441160309</v>
      </c>
      <c r="AD21">
        <f>R21/$R$3</f>
        <v>0.72223364107702404</v>
      </c>
      <c r="AE21">
        <f>V21/$V$3</f>
        <v>1.3845934931925354</v>
      </c>
    </row>
    <row r="22" spans="2:31" x14ac:dyDescent="0.25">
      <c r="B22">
        <f>(1/Gam*(1/M_1^2-1/D22^2)+(Gam+1)/2/Gam*LN((M_1^2/D22^2)*(1+D22^2*(Gam-1)/2)/(1+M_1^2*(Gam-1)/2)))*D/f</f>
        <v>19.331716409810664</v>
      </c>
      <c r="C22">
        <f>B22/3.28</f>
        <v>5.8938159786008129</v>
      </c>
      <c r="D22">
        <f>D21+0.01</f>
        <v>0.62927482794292322</v>
      </c>
      <c r="E22">
        <f>(Gam/Z/Rg)^0.5*D22*(1+D22^2*(Gam-1)/2)^(-(Gam+1)/2/(Gam-1))</f>
        <v>8.110027562116208E-2</v>
      </c>
      <c r="F22">
        <f>H22/(1+(Gam-1)/2*D22^2)^(Gam/(Gam-1))</f>
        <v>89.157441820152528</v>
      </c>
      <c r="G22" s="21">
        <f>F22*6.89476</f>
        <v>614.71916356391478</v>
      </c>
      <c r="H22">
        <f>mdot*N22^0.5/A/E22/gc^0.5/144</f>
        <v>116.41546074728961</v>
      </c>
      <c r="I22" s="21">
        <f>H22*6.89476</f>
        <v>802.65666214198257</v>
      </c>
      <c r="J22">
        <f>N22/(1+(Gam-1)/2*D22^2)</f>
        <v>611.25983378020396</v>
      </c>
      <c r="K22">
        <f>J22/1.8</f>
        <v>339.58879654455774</v>
      </c>
      <c r="L22">
        <f>J22-'Example 7.3 - Pipe P2'!$C$8</f>
        <v>151.58983378020395</v>
      </c>
      <c r="M22">
        <f>K22-'Example 7.3 - Pipe P2'!$C$9</f>
        <v>66.438796544557761</v>
      </c>
      <c r="N22">
        <f>N21</f>
        <v>659.67000000000007</v>
      </c>
      <c r="O22">
        <f>O21</f>
        <v>366.48333333333335</v>
      </c>
      <c r="P22">
        <f>N22-'Example 7.3 - Pipe P2'!$C$8</f>
        <v>200.00000000000006</v>
      </c>
      <c r="Q22">
        <f>O22-'Example 7.3 - Pipe P2'!$C$9</f>
        <v>93.333333333333371</v>
      </c>
      <c r="R22">
        <f>F22/J22/Rg/Z*144</f>
        <v>0.39367278031200093</v>
      </c>
      <c r="S22">
        <f>R22*16.01846</f>
        <v>6.3060316845165749</v>
      </c>
      <c r="T22">
        <f>(Gam*F22/R22*gc*144)^0.5</f>
        <v>1212.0175217492254</v>
      </c>
      <c r="U22">
        <f>T22/3.28</f>
        <v>369.51753711866627</v>
      </c>
      <c r="V22">
        <f>D22*T22</f>
        <v>762.69211746255201</v>
      </c>
      <c r="W22">
        <f>V22/3.28</f>
        <v>232.52808459224147</v>
      </c>
      <c r="Y22">
        <f>B22/L</f>
        <v>0.77326865639242659</v>
      </c>
      <c r="Z22">
        <f>D22</f>
        <v>0.62927482794292322</v>
      </c>
      <c r="AA22">
        <f>F22/$F$3</f>
        <v>0.68480686603696173</v>
      </c>
      <c r="AB22">
        <f>H22/$H$3</f>
        <v>0.78318266811951154</v>
      </c>
      <c r="AC22">
        <f>J22/$J$3</f>
        <v>0.96237492013943093</v>
      </c>
      <c r="AD22">
        <f>R22/$R$3</f>
        <v>0.71158012506991086</v>
      </c>
      <c r="AE22">
        <f>V22/$V$3</f>
        <v>1.4053231179015191</v>
      </c>
    </row>
    <row r="23" spans="2:31" x14ac:dyDescent="0.25">
      <c r="B23">
        <f>(1/Gam*(1/M_1^2-1/D23^2)+(Gam+1)/2/Gam*LN((M_1^2/D23^2)*(1+D23^2*(Gam-1)/2)/(1+M_1^2*(Gam-1)/2)))*D/f</f>
        <v>19.787250734984262</v>
      </c>
      <c r="C23">
        <f>B23/3.28</f>
        <v>6.0326983948122752</v>
      </c>
      <c r="D23">
        <f>D22+0.01</f>
        <v>0.63927482794292323</v>
      </c>
      <c r="E23">
        <f>(Gam/Z/Rg)^0.5*D23*(1+D23^2*(Gam-1)/2)^(-(Gam+1)/2/(Gam-1))</f>
        <v>8.1810717863498625E-2</v>
      </c>
      <c r="F23">
        <f>H23/(1+(Gam-1)/2*D23^2)^(Gam/(Gam-1))</f>
        <v>87.659796724953708</v>
      </c>
      <c r="G23" s="21">
        <f>F23*6.89476</f>
        <v>604.39326006734177</v>
      </c>
      <c r="H23">
        <f>mdot*N23^0.5/A/E23/gc^0.5/144</f>
        <v>115.40451177708327</v>
      </c>
      <c r="I23" s="21">
        <f>H23*6.89476</f>
        <v>795.68641162016263</v>
      </c>
      <c r="J23">
        <f>N23/(1+(Gam-1)/2*D23^2)</f>
        <v>609.82618535785457</v>
      </c>
      <c r="K23">
        <f>J23/1.8</f>
        <v>338.7923251988081</v>
      </c>
      <c r="L23">
        <f>J23-'Example 7.3 - Pipe P2'!$C$8</f>
        <v>150.15618535785455</v>
      </c>
      <c r="M23">
        <f>K23-'Example 7.3 - Pipe P2'!$C$9</f>
        <v>65.642325198808123</v>
      </c>
      <c r="N23">
        <f>N22</f>
        <v>659.67000000000007</v>
      </c>
      <c r="O23">
        <f>O22</f>
        <v>366.48333333333335</v>
      </c>
      <c r="P23">
        <f>N23-'Example 7.3 - Pipe P2'!$C$8</f>
        <v>200.00000000000006</v>
      </c>
      <c r="Q23">
        <f>O23-'Example 7.3 - Pipe P2'!$C$9</f>
        <v>93.333333333333371</v>
      </c>
      <c r="R23">
        <f>F23/J23/Rg/Z*144</f>
        <v>0.38796990474374415</v>
      </c>
      <c r="S23">
        <f>R23*16.01846</f>
        <v>6.214680400341476</v>
      </c>
      <c r="T23">
        <f>(Gam*F23/R23*gc*144)^0.5</f>
        <v>1210.5953548130237</v>
      </c>
      <c r="U23">
        <f>T23/3.28</f>
        <v>369.08394963811702</v>
      </c>
      <c r="V23">
        <f>D23*T23</f>
        <v>773.90313715659784</v>
      </c>
      <c r="W23">
        <f>V23/3.28</f>
        <v>235.94607840140179</v>
      </c>
      <c r="Y23">
        <f>B23/L</f>
        <v>0.79149002939937052</v>
      </c>
      <c r="Z23">
        <f>D23</f>
        <v>0.63927482794292323</v>
      </c>
      <c r="AA23">
        <f>F23/$F$3</f>
        <v>0.67330364630408113</v>
      </c>
      <c r="AB23">
        <f>H23/$H$3</f>
        <v>0.77638152927818871</v>
      </c>
      <c r="AC23">
        <f>J23/$J$3</f>
        <v>0.9601177666185885</v>
      </c>
      <c r="AD23">
        <f>R23/$R$3</f>
        <v>0.70127193737427662</v>
      </c>
      <c r="AE23">
        <f>V23/$V$3</f>
        <v>1.4259803461467886</v>
      </c>
    </row>
    <row r="24" spans="2:31" x14ac:dyDescent="0.25">
      <c r="B24">
        <f>(1/Gam*(1/M_1^2-1/D24^2)+(Gam+1)/2/Gam*LN((M_1^2/D24^2)*(1+D24^2*(Gam-1)/2)/(1+M_1^2*(Gam-1)/2)))*D/f</f>
        <v>20.211598166272427</v>
      </c>
      <c r="C24">
        <f>B24/3.28</f>
        <v>6.1620726116684237</v>
      </c>
      <c r="D24">
        <f>D23+0.01</f>
        <v>0.64927482794292324</v>
      </c>
      <c r="E24">
        <f>(Gam/Z/Rg)^0.5*D24*(1+D24^2*(Gam-1)/2)^(-(Gam+1)/2/(Gam-1))</f>
        <v>8.2499420368641496E-2</v>
      </c>
      <c r="F24">
        <f>H24/(1+(Gam-1)/2*D24^2)^(Gam/(Gam-1))</f>
        <v>86.207050449414396</v>
      </c>
      <c r="G24" s="21">
        <f>F24*6.89476</f>
        <v>594.37692315660433</v>
      </c>
      <c r="H24">
        <f>mdot*N24^0.5/A/E24/gc^0.5/144</f>
        <v>114.4411186282524</v>
      </c>
      <c r="I24" s="21">
        <f>H24*6.89476</f>
        <v>789.04404707332947</v>
      </c>
      <c r="J24">
        <f>N24/(1+(Gam-1)/2*D24^2)</f>
        <v>608.37680244991236</v>
      </c>
      <c r="K24">
        <f>J24/1.8</f>
        <v>337.98711247217352</v>
      </c>
      <c r="L24">
        <f>J24-'Example 7.3 - Pipe P2'!$C$8</f>
        <v>148.70680244991235</v>
      </c>
      <c r="M24">
        <f>K24-'Example 7.3 - Pipe P2'!$C$9</f>
        <v>64.837112472173544</v>
      </c>
      <c r="N24">
        <f>N23</f>
        <v>659.67000000000007</v>
      </c>
      <c r="O24">
        <f>O23</f>
        <v>366.48333333333335</v>
      </c>
      <c r="P24">
        <f>N24-'Example 7.3 - Pipe P2'!$C$8</f>
        <v>200.00000000000006</v>
      </c>
      <c r="Q24">
        <f>O24-'Example 7.3 - Pipe P2'!$C$9</f>
        <v>93.333333333333371</v>
      </c>
      <c r="R24">
        <f>F24/J24/Rg/Z*144</f>
        <v>0.38244922722226615</v>
      </c>
      <c r="S24">
        <f>R24*16.01846</f>
        <v>6.1262476482907822</v>
      </c>
      <c r="T24">
        <f>(Gam*F24/R24*gc*144)^0.5</f>
        <v>1209.1558790622282</v>
      </c>
      <c r="U24">
        <f>T24/3.28</f>
        <v>368.64508507994765</v>
      </c>
      <c r="V24">
        <f>D24*T24</f>
        <v>785.07447533430229</v>
      </c>
      <c r="W24">
        <f>V24/3.28</f>
        <v>239.35197418728731</v>
      </c>
      <c r="Y24">
        <f>B24/L</f>
        <v>0.80846392665089706</v>
      </c>
      <c r="Z24">
        <f>D24</f>
        <v>0.64927482794292324</v>
      </c>
      <c r="AA24">
        <f>F24/$F$3</f>
        <v>0.66214528864162436</v>
      </c>
      <c r="AB24">
        <f>H24/$H$3</f>
        <v>0.76990032126761965</v>
      </c>
      <c r="AC24">
        <f>J24/$J$3</f>
        <v>0.95783584053217097</v>
      </c>
      <c r="AD24">
        <f>R24/$R$3</f>
        <v>0.69129308031921044</v>
      </c>
      <c r="AE24">
        <f>V24/$V$3</f>
        <v>1.4465644579260672</v>
      </c>
    </row>
    <row r="25" spans="2:31" x14ac:dyDescent="0.25">
      <c r="B25">
        <f>(1/Gam*(1/M_1^2-1/D25^2)+(Gam+1)/2/Gam*LN((M_1^2/D25^2)*(1+D25^2*(Gam-1)/2)/(1+M_1^2*(Gam-1)/2)))*D/f</f>
        <v>20.606840177576782</v>
      </c>
      <c r="C25">
        <f>B25/3.28</f>
        <v>6.28257322487097</v>
      </c>
      <c r="D25">
        <f>D24+0.01</f>
        <v>0.65927482794292325</v>
      </c>
      <c r="E25">
        <f>(Gam/Z/Rg)^0.5*D25*(1+D25^2*(Gam-1)/2)^(-(Gam+1)/2/(Gam-1))</f>
        <v>8.3166412689319416E-2</v>
      </c>
      <c r="F25">
        <f>H25/(1+(Gam-1)/2*D25^2)^(Gam/(Gam-1))</f>
        <v>84.797174544832814</v>
      </c>
      <c r="G25" s="21">
        <f>F25*6.89476</f>
        <v>584.65616716473141</v>
      </c>
      <c r="H25">
        <f>mdot*N25^0.5/A/E25/gc^0.5/144</f>
        <v>113.52330403427703</v>
      </c>
      <c r="I25" s="21">
        <f>H25*6.89476</f>
        <v>782.7159357233719</v>
      </c>
      <c r="J25">
        <f>N25/(1+(Gam-1)/2*D25^2)</f>
        <v>606.91195699137688</v>
      </c>
      <c r="K25">
        <f>J25/1.8</f>
        <v>337.17330943965379</v>
      </c>
      <c r="L25">
        <f>J25-'Example 7.3 - Pipe P2'!$C$8</f>
        <v>147.24195699137687</v>
      </c>
      <c r="M25">
        <f>K25-'Example 7.3 - Pipe P2'!$C$9</f>
        <v>64.023309439653815</v>
      </c>
      <c r="N25">
        <f>N24</f>
        <v>659.67000000000007</v>
      </c>
      <c r="O25">
        <f>O24</f>
        <v>366.48333333333335</v>
      </c>
      <c r="P25">
        <f>N25-'Example 7.3 - Pipe P2'!$C$8</f>
        <v>200.00000000000006</v>
      </c>
      <c r="Q25">
        <f>O25-'Example 7.3 - Pipe P2'!$C$9</f>
        <v>93.333333333333371</v>
      </c>
      <c r="R25">
        <f>F25/J25/Rg/Z*144</f>
        <v>0.37710243399945881</v>
      </c>
      <c r="S25">
        <f>R25*16.01846</f>
        <v>6.0406002549229711</v>
      </c>
      <c r="T25">
        <f>(Gam*F25/R25*gc*144)^0.5</f>
        <v>1207.6993031678062</v>
      </c>
      <c r="U25">
        <f>T25/3.28</f>
        <v>368.20100706335558</v>
      </c>
      <c r="V25">
        <f>D25*T25</f>
        <v>796.2057503027437</v>
      </c>
      <c r="W25">
        <f>V25/3.28</f>
        <v>242.7456555801048</v>
      </c>
      <c r="Y25">
        <f>B25/L</f>
        <v>0.82427360710307129</v>
      </c>
      <c r="Z25">
        <f>D25</f>
        <v>0.65927482794292325</v>
      </c>
      <c r="AA25">
        <f>F25/$F$3</f>
        <v>0.65131621279549234</v>
      </c>
      <c r="AB25">
        <f>H25/$H$3</f>
        <v>0.76372574206710409</v>
      </c>
      <c r="AC25">
        <f>J25/$J$3</f>
        <v>0.95552957001795025</v>
      </c>
      <c r="AD25">
        <f>R25/$R$3</f>
        <v>0.68162852645497607</v>
      </c>
      <c r="AE25">
        <f>V25/$V$3</f>
        <v>1.4670747499386727</v>
      </c>
    </row>
    <row r="26" spans="2:31" x14ac:dyDescent="0.25">
      <c r="B26">
        <f>(1/Gam*(1/M_1^2-1/D26^2)+(Gam+1)/2/Gam*LN((M_1^2/D26^2)*(1+D26^2*(Gam-1)/2)/(1+M_1^2*(Gam-1)/2)))*D/f</f>
        <v>20.974898202538654</v>
      </c>
      <c r="C26">
        <f>B26/3.28</f>
        <v>6.3947860373593457</v>
      </c>
      <c r="D26">
        <f>D25+0.01</f>
        <v>0.66927482794292326</v>
      </c>
      <c r="E26">
        <f>(Gam/Z/Rg)^0.5*D26*(1+D26^2*(Gam-1)/2)^(-(Gam+1)/2/(Gam-1))</f>
        <v>8.381173508758076E-2</v>
      </c>
      <c r="F26">
        <f>H26/(1+(Gam-1)/2*D26^2)^(Gam/(Gam-1))</f>
        <v>83.428261870166509</v>
      </c>
      <c r="G26" s="21">
        <f>F26*6.89476</f>
        <v>575.21784281194925</v>
      </c>
      <c r="H26">
        <f>mdot*N26^0.5/A/E26/gc^0.5/144</f>
        <v>112.64921246772734</v>
      </c>
      <c r="I26" s="21">
        <f>H26*6.89476</f>
        <v>776.68928415398773</v>
      </c>
      <c r="J26">
        <f>N26/(1+(Gam-1)/2*D26^2)</f>
        <v>605.43192173044099</v>
      </c>
      <c r="K26">
        <f>J26/1.8</f>
        <v>336.35106762802275</v>
      </c>
      <c r="L26">
        <f>J26-'Example 7.3 - Pipe P2'!$C$8</f>
        <v>145.76192173044097</v>
      </c>
      <c r="M26">
        <f>K26-'Example 7.3 - Pipe P2'!$C$9</f>
        <v>63.20106762802277</v>
      </c>
      <c r="N26">
        <f>N25</f>
        <v>659.67000000000007</v>
      </c>
      <c r="O26">
        <f>O25</f>
        <v>366.48333333333335</v>
      </c>
      <c r="P26">
        <f>N26-'Example 7.3 - Pipe P2'!$C$8</f>
        <v>200.00000000000006</v>
      </c>
      <c r="Q26">
        <f>O26-'Example 7.3 - Pipe P2'!$C$9</f>
        <v>93.333333333333371</v>
      </c>
      <c r="R26">
        <f>F26/J26/Rg/Z*144</f>
        <v>0.37192170799472274</v>
      </c>
      <c r="S26">
        <f>R26*16.01846</f>
        <v>5.9576130026451466</v>
      </c>
      <c r="T26">
        <f>(Gam*F26/R26*gc*144)^0.5</f>
        <v>1206.2258368855084</v>
      </c>
      <c r="U26">
        <f>T26/3.28</f>
        <v>367.75177953826477</v>
      </c>
      <c r="V26">
        <f>D26*T26</f>
        <v>807.29658944185724</v>
      </c>
      <c r="W26">
        <f>V26/3.28</f>
        <v>246.127008976176</v>
      </c>
      <c r="Y26">
        <f>B26/L</f>
        <v>0.83899592810154611</v>
      </c>
      <c r="Z26">
        <f>D26</f>
        <v>0.66927482794292326</v>
      </c>
      <c r="AA26">
        <f>F26/$F$3</f>
        <v>0.64080177026014562</v>
      </c>
      <c r="AB26">
        <f>H26/$H$3</f>
        <v>0.75784530865321931</v>
      </c>
      <c r="AC26">
        <f>J26/$J$3</f>
        <v>0.95319938449400032</v>
      </c>
      <c r="AD26">
        <f>R26/$R$3</f>
        <v>0.67226414607927087</v>
      </c>
      <c r="AE26">
        <f>V26/$V$3</f>
        <v>1.4875105356014089</v>
      </c>
    </row>
    <row r="27" spans="2:31" x14ac:dyDescent="0.25">
      <c r="B27">
        <f>(1/Gam*(1/M_1^2-1/D27^2)+(Gam+1)/2/Gam*LN((M_1^2/D27^2)*(1+D27^2*(Gam-1)/2)/(1+M_1^2*(Gam-1)/2)))*D/f</f>
        <v>21.317547906083249</v>
      </c>
      <c r="C27">
        <f>B27/3.28</f>
        <v>6.499252410391235</v>
      </c>
      <c r="D27">
        <f>D26+0.01</f>
        <v>0.67927482794292326</v>
      </c>
      <c r="E27">
        <f>(Gam/Z/Rg)^0.5*D27*(1+D27^2*(Gam-1)/2)^(-(Gam+1)/2/(Gam-1))</f>
        <v>8.4435438326198556E-2</v>
      </c>
      <c r="F27">
        <f>H27/(1+(Gam-1)/2*D27^2)^(Gam/(Gam-1))</f>
        <v>82.098517657841455</v>
      </c>
      <c r="G27" s="21">
        <f>F27*6.89476</f>
        <v>566.04957560657897</v>
      </c>
      <c r="H27">
        <f>mdot*N27^0.5/A/E27/gc^0.5/144</f>
        <v>111.81710121164039</v>
      </c>
      <c r="I27" s="21">
        <f>H27*6.89476</f>
        <v>770.95207674996971</v>
      </c>
      <c r="J27">
        <f>N27/(1+(Gam-1)/2*D27^2)</f>
        <v>603.93697011886604</v>
      </c>
      <c r="K27">
        <f>J27/1.8</f>
        <v>335.5205389549256</v>
      </c>
      <c r="L27">
        <f>J27-'Example 7.3 - Pipe P2'!$C$8</f>
        <v>144.26697011886603</v>
      </c>
      <c r="M27">
        <f>K27-'Example 7.3 - Pipe P2'!$C$9</f>
        <v>62.370538954925621</v>
      </c>
      <c r="N27">
        <f>N26</f>
        <v>659.67000000000007</v>
      </c>
      <c r="O27">
        <f>O26</f>
        <v>366.48333333333335</v>
      </c>
      <c r="P27">
        <f>N27-'Example 7.3 - Pipe P2'!$C$8</f>
        <v>200.00000000000006</v>
      </c>
      <c r="Q27">
        <f>O27-'Example 7.3 - Pipe P2'!$C$9</f>
        <v>93.333333333333371</v>
      </c>
      <c r="R27">
        <f>F27/J27/Rg/Z*144</f>
        <v>0.36689969224137209</v>
      </c>
      <c r="S27">
        <f>R27*16.01846</f>
        <v>5.8771680441807295</v>
      </c>
      <c r="T27">
        <f>(Gam*F27/R27*gc*144)^0.5</f>
        <v>1204.7356909826754</v>
      </c>
      <c r="U27">
        <f>T27/3.28</f>
        <v>367.29746676301079</v>
      </c>
      <c r="V27">
        <f>D27*T27</f>
        <v>818.34662920895562</v>
      </c>
      <c r="W27">
        <f>V27/3.28</f>
        <v>249.49592353931575</v>
      </c>
      <c r="Y27">
        <f>B27/L</f>
        <v>0.85270191624332992</v>
      </c>
      <c r="Z27">
        <f>D27</f>
        <v>0.67927482794292326</v>
      </c>
      <c r="AA27">
        <f>F27/$F$3</f>
        <v>0.63058817565623138</v>
      </c>
      <c r="AB27">
        <f>H27/$H$3</f>
        <v>0.75224729693268744</v>
      </c>
      <c r="AC27">
        <f>J27/$J$3</f>
        <v>0.95084571448610133</v>
      </c>
      <c r="AD27">
        <f>R27/$R$3</f>
        <v>0.66318664116506232</v>
      </c>
      <c r="AE27">
        <f>V27/$V$3</f>
        <v>1.5078711450568973</v>
      </c>
    </row>
    <row r="28" spans="2:31" x14ac:dyDescent="0.25">
      <c r="B28">
        <f>(1/Gam*(1/M_1^2-1/D28^2)+(Gam+1)/2/Gam*LN((M_1^2/D28^2)*(1+D28^2*(Gam-1)/2)/(1+M_1^2*(Gam-1)/2)))*D/f</f>
        <v>21.636432003320401</v>
      </c>
      <c r="C28">
        <f>B28/3.28</f>
        <v>6.5964731717440248</v>
      </c>
      <c r="D28">
        <f>D27+0.01</f>
        <v>0.68927482794292327</v>
      </c>
      <c r="E28">
        <f>(Gam/Z/Rg)^0.5*D28*(1+D28^2*(Gam-1)/2)^(-(Gam+1)/2/(Gam-1))</f>
        <v>8.5037583453754492E-2</v>
      </c>
      <c r="F28">
        <f>H28/(1+(Gam-1)/2*D28^2)^(Gam/(Gam-1))</f>
        <v>80.80625135729872</v>
      </c>
      <c r="G28" s="21">
        <f>F28*6.89476</f>
        <v>557.13970960824895</v>
      </c>
      <c r="H28">
        <f>mdot*N28^0.5/A/E28/gc^0.5/144</f>
        <v>111.02533220860147</v>
      </c>
      <c r="I28" s="21">
        <f>H28*6.89476</f>
        <v>765.49301949857704</v>
      </c>
      <c r="J28">
        <f>N28/(1+(Gam-1)/2*D28^2)</f>
        <v>602.42737620355763</v>
      </c>
      <c r="K28">
        <f>J28/1.8</f>
        <v>334.6818756686431</v>
      </c>
      <c r="L28">
        <f>J28-'Example 7.3 - Pipe P2'!$C$8</f>
        <v>142.75737620355761</v>
      </c>
      <c r="M28">
        <f>K28-'Example 7.3 - Pipe P2'!$C$9</f>
        <v>61.531875668643124</v>
      </c>
      <c r="N28">
        <f>N27</f>
        <v>659.67000000000007</v>
      </c>
      <c r="O28">
        <f>O27</f>
        <v>366.48333333333335</v>
      </c>
      <c r="P28">
        <f>N28-'Example 7.3 - Pipe P2'!$C$8</f>
        <v>200.00000000000006</v>
      </c>
      <c r="Q28">
        <f>O28-'Example 7.3 - Pipe P2'!$C$9</f>
        <v>93.333333333333371</v>
      </c>
      <c r="R28">
        <f>F28/J28/Rg/Z*144</f>
        <v>0.3620294565149566</v>
      </c>
      <c r="S28">
        <f>R28*16.01846</f>
        <v>5.7991543680065725</v>
      </c>
      <c r="T28">
        <f>(Gam*F28/R28*gc*144)^0.5</f>
        <v>1203.2290771655541</v>
      </c>
      <c r="U28">
        <f>T28/3.28</f>
        <v>366.83813328218116</v>
      </c>
      <c r="V28">
        <f>D28*T28</f>
        <v>829.35551513920973</v>
      </c>
      <c r="W28">
        <f>V28/3.28</f>
        <v>252.85229120097858</v>
      </c>
      <c r="Y28">
        <f>B28/L</f>
        <v>0.86545728013281609</v>
      </c>
      <c r="Z28">
        <f>D28</f>
        <v>0.68927482794292327</v>
      </c>
      <c r="AA28">
        <f>F28/$F$3</f>
        <v>0.62066244408191185</v>
      </c>
      <c r="AB28">
        <f>H28/$H$3</f>
        <v>0.74692068690723346</v>
      </c>
      <c r="AC28">
        <f>J28/$J$3</f>
        <v>0.94846899145703623</v>
      </c>
      <c r="AD28">
        <f>R28/$R$3</f>
        <v>0.65438348503987609</v>
      </c>
      <c r="AE28">
        <f>V28/$V$3</f>
        <v>1.528155925174461</v>
      </c>
    </row>
    <row r="29" spans="2:31" x14ac:dyDescent="0.25">
      <c r="B29">
        <f>(1/Gam*(1/M_1^2-1/D29^2)+(Gam+1)/2/Gam*LN((M_1^2/D29^2)*(1+D29^2*(Gam-1)/2)/(1+M_1^2*(Gam-1)/2)))*D/f</f>
        <v>21.933071791785764</v>
      </c>
      <c r="C29">
        <f>B29/3.28</f>
        <v>6.6869121316420017</v>
      </c>
      <c r="D29">
        <f>D28+0.01</f>
        <v>0.69927482794292328</v>
      </c>
      <c r="E29">
        <f>(Gam/Z/Rg)^0.5*D29*(1+D29^2*(Gam-1)/2)^(-(Gam+1)/2/(Gam-1))</f>
        <v>8.5618241583810775E-2</v>
      </c>
      <c r="F29">
        <f>H29/(1+(Gam-1)/2*D29^2)^(Gam/(Gam-1))</f>
        <v>79.54986917842696</v>
      </c>
      <c r="G29" s="21">
        <f>F29*6.89476</f>
        <v>548.47725601665104</v>
      </c>
      <c r="H29">
        <f>mdot*N29^0.5/A/E29/gc^0.5/144</f>
        <v>110.27236460968135</v>
      </c>
      <c r="I29" s="21">
        <f>H29*6.89476</f>
        <v>760.3014886162465</v>
      </c>
      <c r="J29">
        <f>N29/(1+(Gam-1)/2*D29^2)</f>
        <v>600.90341451940003</v>
      </c>
      <c r="K29">
        <f>J29/1.8</f>
        <v>333.83523028855558</v>
      </c>
      <c r="L29">
        <f>J29-'Example 7.3 - Pipe P2'!$C$8</f>
        <v>141.23341451940001</v>
      </c>
      <c r="M29">
        <f>K29-'Example 7.3 - Pipe P2'!$C$9</f>
        <v>60.685230288555601</v>
      </c>
      <c r="N29">
        <f>N28</f>
        <v>659.67000000000007</v>
      </c>
      <c r="O29">
        <f>O28</f>
        <v>366.48333333333335</v>
      </c>
      <c r="P29">
        <f>N29-'Example 7.3 - Pipe P2'!$C$8</f>
        <v>200.00000000000006</v>
      </c>
      <c r="Q29">
        <f>O29-'Example 7.3 - Pipe P2'!$C$9</f>
        <v>93.333333333333371</v>
      </c>
      <c r="R29">
        <f>F29/J29/Rg/Z*144</f>
        <v>0.35730446682498029</v>
      </c>
      <c r="S29">
        <f>R29*16.01846</f>
        <v>5.7234673096572743</v>
      </c>
      <c r="T29">
        <f>(Gam*F29/R29*gc*144)^0.5</f>
        <v>1201.7062080071623</v>
      </c>
      <c r="U29">
        <f>T29/3.28</f>
        <v>366.37384390462267</v>
      </c>
      <c r="V29">
        <f>D29*T29</f>
        <v>840.32290184215117</v>
      </c>
      <c r="W29">
        <f>V29/3.28</f>
        <v>256.19600665919245</v>
      </c>
      <c r="Y29">
        <f>B29/L</f>
        <v>0.87732287167143053</v>
      </c>
      <c r="Z29">
        <f>D29</f>
        <v>0.69927482794292328</v>
      </c>
      <c r="AA29">
        <f>F29/$F$3</f>
        <v>0.61101233383992659</v>
      </c>
      <c r="AB29">
        <f>H29/$H$3</f>
        <v>0.74185511254671166</v>
      </c>
      <c r="AC29">
        <f>J29/$J$3</f>
        <v>0.94606964763786738</v>
      </c>
      <c r="AD29">
        <f>R29/$R$3</f>
        <v>0.64584286724079254</v>
      </c>
      <c r="AE29">
        <f>V29/$V$3</f>
        <v>1.548364239543681</v>
      </c>
    </row>
    <row r="30" spans="2:31" x14ac:dyDescent="0.25">
      <c r="B30">
        <f>(1/Gam*(1/M_1^2-1/D30^2)+(Gam+1)/2/Gam*LN((M_1^2/D30^2)*(1+D30^2*(Gam-1)/2)/(1+M_1^2*(Gam-1)/2)))*D/f</f>
        <v>22.208877542010747</v>
      </c>
      <c r="C30">
        <f>B30/3.28</f>
        <v>6.7709992506130332</v>
      </c>
      <c r="D30">
        <f>D29+0.01</f>
        <v>0.70927482794292329</v>
      </c>
      <c r="E30">
        <f>(Gam/Z/Rg)^0.5*D30*(1+D30^2*(Gam-1)/2)^(-(Gam+1)/2/(Gam-1))</f>
        <v>8.6177493668581753E-2</v>
      </c>
      <c r="F30">
        <f>H30/(1+(Gam-1)/2*D30^2)^(Gam/(Gam-1))</f>
        <v>78.327867265809701</v>
      </c>
      <c r="G30" s="21">
        <f>F30*6.89476</f>
        <v>540.05184610961408</v>
      </c>
      <c r="H30">
        <f>mdot*N30^0.5/A/E30/gc^0.5/144</f>
        <v>109.55674795415692</v>
      </c>
      <c r="I30" s="21">
        <f>H30*6.89476</f>
        <v>755.36748352440293</v>
      </c>
      <c r="J30">
        <f>N30/(1+(Gam-1)/2*D30^2)</f>
        <v>599.36535998341424</v>
      </c>
      <c r="K30">
        <f>J30/1.8</f>
        <v>332.98075554634124</v>
      </c>
      <c r="L30">
        <f>J30-'Example 7.3 - Pipe P2'!$C$8</f>
        <v>139.69535998341422</v>
      </c>
      <c r="M30">
        <f>K30-'Example 7.3 - Pipe P2'!$C$9</f>
        <v>59.830755546341265</v>
      </c>
      <c r="N30">
        <f>N29</f>
        <v>659.67000000000007</v>
      </c>
      <c r="O30">
        <f>O29</f>
        <v>366.48333333333335</v>
      </c>
      <c r="P30">
        <f>N30-'Example 7.3 - Pipe P2'!$C$8</f>
        <v>200.00000000000006</v>
      </c>
      <c r="Q30">
        <f>O30-'Example 7.3 - Pipe P2'!$C$9</f>
        <v>93.333333333333371</v>
      </c>
      <c r="R30">
        <f>F30/J30/Rg/Z*144</f>
        <v>0.35271855748741582</v>
      </c>
      <c r="S30">
        <f>R30*16.01846</f>
        <v>5.6500081043698716</v>
      </c>
      <c r="T30">
        <f>(Gam*F30/R30*gc*144)^0.5</f>
        <v>1200.1672968757364</v>
      </c>
      <c r="U30">
        <f>T30/3.28</f>
        <v>365.90466368162697</v>
      </c>
      <c r="V30">
        <f>D30*T30</f>
        <v>851.24845299426124</v>
      </c>
      <c r="W30">
        <f>V30/3.28</f>
        <v>259.52696737629918</v>
      </c>
      <c r="Y30">
        <f>B30/L</f>
        <v>0.88835510168042986</v>
      </c>
      <c r="Z30">
        <f>D30</f>
        <v>0.70927482794292329</v>
      </c>
      <c r="AA30">
        <f>F30/$F$3</f>
        <v>0.60162629400986223</v>
      </c>
      <c r="AB30">
        <f>H30/$H$3</f>
        <v>0.73704081590581272</v>
      </c>
      <c r="AC30">
        <f>J30/$J$3</f>
        <v>0.94364811586129782</v>
      </c>
      <c r="AD30">
        <f>R30/$R$3</f>
        <v>0.63755364303434081</v>
      </c>
      <c r="AE30">
        <f>V30/$V$3</f>
        <v>1.5684954684607411</v>
      </c>
    </row>
    <row r="31" spans="2:31" x14ac:dyDescent="0.25">
      <c r="B31">
        <f>(1/Gam*(1/M_1^2-1/D31^2)+(Gam+1)/2/Gam*LN((M_1^2/D31^2)*(1+D31^2*(Gam-1)/2)/(1+M_1^2*(Gam-1)/2)))*D/f</f>
        <v>22.465157873320777</v>
      </c>
      <c r="C31">
        <f>B31/3.28</f>
        <v>6.8491334979636518</v>
      </c>
      <c r="D31">
        <f>D30+0.01</f>
        <v>0.7192748279429233</v>
      </c>
      <c r="E31">
        <f>(Gam/Z/Rg)^0.5*D31*(1+D31^2*(Gam-1)/2)^(-(Gam+1)/2/(Gam-1))</f>
        <v>8.6715430267512522E-2</v>
      </c>
      <c r="F31">
        <f>H31/(1+(Gam-1)/2*D31^2)^(Gam/(Gam-1))</f>
        <v>77.138825442399323</v>
      </c>
      <c r="G31" s="21">
        <f>F31*6.89476</f>
        <v>531.85368810723719</v>
      </c>
      <c r="H31">
        <f>mdot*N31^0.5/A/E31/gc^0.5/144</f>
        <v>108.87711591862916</v>
      </c>
      <c r="I31" s="21">
        <f>H31*6.89476</f>
        <v>750.6815837511275</v>
      </c>
      <c r="J31">
        <f>N31/(1+(Gam-1)/2*D31^2)</f>
        <v>597.81348779029361</v>
      </c>
      <c r="K31">
        <f>J31/1.8</f>
        <v>332.11860432794089</v>
      </c>
      <c r="L31">
        <f>J31-'Example 7.3 - Pipe P2'!$C$8</f>
        <v>138.14348779029359</v>
      </c>
      <c r="M31">
        <f>K31-'Example 7.3 - Pipe P2'!$C$9</f>
        <v>58.968604327940909</v>
      </c>
      <c r="N31">
        <f>N30</f>
        <v>659.67000000000007</v>
      </c>
      <c r="O31">
        <f>O30</f>
        <v>366.48333333333335</v>
      </c>
      <c r="P31">
        <f>N31-'Example 7.3 - Pipe P2'!$C$8</f>
        <v>200.00000000000006</v>
      </c>
      <c r="Q31">
        <f>O31-'Example 7.3 - Pipe P2'!$C$9</f>
        <v>93.333333333333371</v>
      </c>
      <c r="R31">
        <f>F31/J31/Rg/Z*144</f>
        <v>0.34826590552685327</v>
      </c>
      <c r="S31">
        <f>R31*16.01846</f>
        <v>5.5786834770456784</v>
      </c>
      <c r="T31">
        <f>(Gam*F31/R31*gc*144)^0.5</f>
        <v>1198.6125578638046</v>
      </c>
      <c r="U31">
        <f>T31/3.28</f>
        <v>365.43065788530629</v>
      </c>
      <c r="V31">
        <f>D31*T31</f>
        <v>862.13184132771528</v>
      </c>
      <c r="W31">
        <f>V31/3.28</f>
        <v>262.84507357552297</v>
      </c>
      <c r="Y31">
        <f>B31/L</f>
        <v>0.89860631493283105</v>
      </c>
      <c r="Z31">
        <f>D31</f>
        <v>0.7192748279429233</v>
      </c>
      <c r="AA31">
        <f>F31/$F$3</f>
        <v>0.59249341639411524</v>
      </c>
      <c r="AB31">
        <f>H31/$H$3</f>
        <v>0.7324686050713809</v>
      </c>
      <c r="AC31">
        <f>J31/$J$3</f>
        <v>0.94120482939720129</v>
      </c>
      <c r="AD31">
        <f>R31/$R$3</f>
        <v>0.62950528714730491</v>
      </c>
      <c r="AE31">
        <f>V31/$V$3</f>
        <v>1.5885490089076875</v>
      </c>
    </row>
    <row r="32" spans="2:31" x14ac:dyDescent="0.25">
      <c r="B32">
        <f>(1/Gam*(1/M_1^2-1/D32^2)+(Gam+1)/2/Gam*LN((M_1^2/D32^2)*(1+D32^2*(Gam-1)/2)/(1+M_1^2*(Gam-1)/2)))*D/f</f>
        <v>22.70312822614245</v>
      </c>
      <c r="C32">
        <f>B32/3.28</f>
        <v>6.921685434799528</v>
      </c>
      <c r="D32">
        <f>D31+0.01</f>
        <v>0.72927482794292331</v>
      </c>
      <c r="E32">
        <f>(Gam/Z/Rg)^0.5*D32*(1+D32^2*(Gam-1)/2)^(-(Gam+1)/2/(Gam-1))</f>
        <v>8.7232151311173275E-2</v>
      </c>
      <c r="F32">
        <f>H32/(1+(Gam-1)/2*D32^2)^(Gam/(Gam-1))</f>
        <v>75.981401467962471</v>
      </c>
      <c r="G32" s="21">
        <f>F32*6.89476</f>
        <v>523.87352758524889</v>
      </c>
      <c r="H32">
        <f>mdot*N32^0.5/A/E32/gc^0.5/144</f>
        <v>108.23218058088241</v>
      </c>
      <c r="I32" s="21">
        <f>H32*6.89476</f>
        <v>746.23490938184477</v>
      </c>
      <c r="J32">
        <f>N32/(1+(Gam-1)/2*D32^2)</f>
        <v>596.24807330937415</v>
      </c>
      <c r="K32">
        <f>J32/1.8</f>
        <v>331.24892961631895</v>
      </c>
      <c r="L32">
        <f>J32-'Example 7.3 - Pipe P2'!$C$8</f>
        <v>136.57807330937413</v>
      </c>
      <c r="M32">
        <f>K32-'Example 7.3 - Pipe P2'!$C$9</f>
        <v>58.098929616318969</v>
      </c>
      <c r="N32">
        <f>N31</f>
        <v>659.67000000000007</v>
      </c>
      <c r="O32">
        <f>O31</f>
        <v>366.48333333333335</v>
      </c>
      <c r="P32">
        <f>N32-'Example 7.3 - Pipe P2'!$C$8</f>
        <v>200.00000000000006</v>
      </c>
      <c r="Q32">
        <f>O32-'Example 7.3 - Pipe P2'!$C$9</f>
        <v>93.333333333333371</v>
      </c>
      <c r="R32">
        <f>F32/J32/Rg/Z*144</f>
        <v>0.34394100718466453</v>
      </c>
      <c r="S32">
        <f>R32*16.01846</f>
        <v>5.5094052659472617</v>
      </c>
      <c r="T32">
        <f>(Gam*F32/R32*gc*144)^0.5</f>
        <v>1197.0422057179217</v>
      </c>
      <c r="U32">
        <f>T32/3.28</f>
        <v>364.95189198717128</v>
      </c>
      <c r="V32">
        <f>D32*T32</f>
        <v>872.9727486153547</v>
      </c>
      <c r="W32">
        <f>V32/3.28</f>
        <v>266.15022823638867</v>
      </c>
      <c r="Y32">
        <f>B32/L</f>
        <v>0.90812512904569798</v>
      </c>
      <c r="Z32">
        <f>D32</f>
        <v>0.72927482794292331</v>
      </c>
      <c r="AA32">
        <f>F32/$F$3</f>
        <v>0.5836033914177482</v>
      </c>
      <c r="AB32">
        <f>H32/$H$3</f>
        <v>0.72812981557264322</v>
      </c>
      <c r="AC32">
        <f>J32/$J$3</f>
        <v>0.93874022179041117</v>
      </c>
      <c r="AD32">
        <f>R32/$R$3</f>
        <v>0.62168785130424187</v>
      </c>
      <c r="AE32">
        <f>V32/$V$3</f>
        <v>1.6085242745247401</v>
      </c>
    </row>
    <row r="33" spans="2:31" x14ac:dyDescent="0.25">
      <c r="B33">
        <f>(1/Gam*(1/M_1^2-1/D33^2)+(Gam+1)/2/Gam*LN((M_1^2/D33^2)*(1+D33^2*(Gam-1)/2)/(1+M_1^2*(Gam-1)/2)))*D/f</f>
        <v>22.923918528586327</v>
      </c>
      <c r="C33">
        <f>B33/3.28</f>
        <v>6.9889995513982708</v>
      </c>
      <c r="D33">
        <f>D32+0.01</f>
        <v>0.73927482794292332</v>
      </c>
      <c r="E33">
        <f>(Gam/Z/Rg)^0.5*D33*(1+D33^2*(Gam-1)/2)^(-(Gam+1)/2/(Gam-1))</f>
        <v>8.7727765860871235E-2</v>
      </c>
      <c r="F33">
        <f>H33/(1+(Gam-1)/2*D33^2)^(Gam/(Gam-1))</f>
        <v>74.854325763557227</v>
      </c>
      <c r="G33" s="21">
        <f>F33*6.89476</f>
        <v>516.10261110154386</v>
      </c>
      <c r="H33">
        <f>mdot*N33^0.5/A/E33/gc^0.5/144</f>
        <v>107.62072714974758</v>
      </c>
      <c r="I33" s="21">
        <f>H33*6.89476</f>
        <v>742.01908472299363</v>
      </c>
      <c r="J33">
        <f>N33/(1+(Gam-1)/2*D33^2)</f>
        <v>594.66939198309115</v>
      </c>
      <c r="K33">
        <f>J33/1.8</f>
        <v>330.37188443505062</v>
      </c>
      <c r="L33">
        <f>J33-'Example 7.3 - Pipe P2'!$C$8</f>
        <v>134.99939198309113</v>
      </c>
      <c r="M33">
        <f>K33-'Example 7.3 - Pipe P2'!$C$9</f>
        <v>57.22188443505064</v>
      </c>
      <c r="N33">
        <f>N32</f>
        <v>659.67000000000007</v>
      </c>
      <c r="O33">
        <f>O32</f>
        <v>366.48333333333335</v>
      </c>
      <c r="P33">
        <f>N33-'Example 7.3 - Pipe P2'!$C$8</f>
        <v>200.00000000000006</v>
      </c>
      <c r="Q33">
        <f>O33-'Example 7.3 - Pipe P2'!$C$9</f>
        <v>93.333333333333371</v>
      </c>
      <c r="R33">
        <f>F33/J33/Rg/Z*144</f>
        <v>0.33973865633377365</v>
      </c>
      <c r="S33">
        <f>R33*16.01846</f>
        <v>5.4420900769363003</v>
      </c>
      <c r="T33">
        <f>(Gam*F33/R33*gc*144)^0.5</f>
        <v>1195.456455769091</v>
      </c>
      <c r="U33">
        <f>T33/3.28</f>
        <v>364.46843163691801</v>
      </c>
      <c r="V33">
        <f>D33*T33</f>
        <v>883.77086565195168</v>
      </c>
      <c r="W33">
        <f>V33/3.28</f>
        <v>269.4423370890097</v>
      </c>
      <c r="Y33">
        <f>B33/L</f>
        <v>0.91695674114345305</v>
      </c>
      <c r="Z33">
        <f>D33</f>
        <v>0.73927482794292332</v>
      </c>
      <c r="AA33">
        <f>F33/$F$3</f>
        <v>0.57494646760787615</v>
      </c>
      <c r="AB33">
        <f>H33/$H$3</f>
        <v>0.72401627492646958</v>
      </c>
      <c r="AC33">
        <f>J33/$J$3</f>
        <v>0.93625472670084908</v>
      </c>
      <c r="AD33">
        <f>R33/$R$3</f>
        <v>0.61409192521127032</v>
      </c>
      <c r="AE33">
        <f>V33/$V$3</f>
        <v>1.6284206955757694</v>
      </c>
    </row>
    <row r="34" spans="2:31" x14ac:dyDescent="0.25">
      <c r="B34">
        <f>(1/Gam*(1/M_1^2-1/D34^2)+(Gam+1)/2/Gam*LN((M_1^2/D34^2)*(1+D34^2*(Gam-1)/2)/(1+M_1^2*(Gam-1)/2)))*D/f</f>
        <v>23.128580143354675</v>
      </c>
      <c r="C34">
        <f>B34/3.28</f>
        <v>7.0513963851691086</v>
      </c>
      <c r="D34">
        <f>D33+0.01</f>
        <v>0.74927482794292333</v>
      </c>
      <c r="E34">
        <f>(Gam/Z/Rg)^0.5*D34*(1+D34^2*(Gam-1)/2)^(-(Gam+1)/2/(Gam-1))</f>
        <v>8.820239186438264E-2</v>
      </c>
      <c r="F34">
        <f>H34/(1+(Gam-1)/2*D34^2)^(Gam/(Gam-1))</f>
        <v>73.756396558505301</v>
      </c>
      <c r="G34" s="21">
        <f>F34*6.89476</f>
        <v>508.53265273571998</v>
      </c>
      <c r="H34">
        <f>mdot*N34^0.5/A/E34/gc^0.5/144</f>
        <v>107.04160911743146</v>
      </c>
      <c r="I34" s="21">
        <f>H34*6.89476</f>
        <v>738.02620487850174</v>
      </c>
      <c r="J34">
        <f>N34/(1+(Gam-1)/2*D34^2)</f>
        <v>593.07771922697191</v>
      </c>
      <c r="K34">
        <f>J34/1.8</f>
        <v>329.48762179276218</v>
      </c>
      <c r="L34">
        <f>J34-'Example 7.3 - Pipe P2'!$C$8</f>
        <v>133.40771922697189</v>
      </c>
      <c r="M34">
        <f>K34-'Example 7.3 - Pipe P2'!$C$9</f>
        <v>56.337621792762206</v>
      </c>
      <c r="N34">
        <f>N33</f>
        <v>659.67000000000007</v>
      </c>
      <c r="O34">
        <f>O33</f>
        <v>366.48333333333335</v>
      </c>
      <c r="P34">
        <f>N34-'Example 7.3 - Pipe P2'!$C$8</f>
        <v>200.00000000000006</v>
      </c>
      <c r="Q34">
        <f>O34-'Example 7.3 - Pipe P2'!$C$9</f>
        <v>93.333333333333371</v>
      </c>
      <c r="R34">
        <f>F34/J34/Rg/Z*144</f>
        <v>0.33565392462190369</v>
      </c>
      <c r="S34">
        <f>R34*16.01846</f>
        <v>5.3766589653989794</v>
      </c>
      <c r="T34">
        <f>(Gam*F34/R34*gc*144)^0.5</f>
        <v>1193.8555238639217</v>
      </c>
      <c r="U34">
        <f>T34/3.28</f>
        <v>363.98034264143956</v>
      </c>
      <c r="V34">
        <f>D34*T34</f>
        <v>894.5258922318485</v>
      </c>
      <c r="W34">
        <f>V34/3.28</f>
        <v>272.72130860727088</v>
      </c>
      <c r="Y34">
        <f>B34/L</f>
        <v>0.92514320573418696</v>
      </c>
      <c r="Z34">
        <f>D34</f>
        <v>0.74927482794292333</v>
      </c>
      <c r="AA34">
        <f>F34/$F$3</f>
        <v>0.56651341431818303</v>
      </c>
      <c r="AB34">
        <f>H34/$H$3</f>
        <v>0.72012027002476653</v>
      </c>
      <c r="AC34">
        <f>J34/$J$3</f>
        <v>0.93374877774607257</v>
      </c>
      <c r="AD34">
        <f>R34/$R$3</f>
        <v>0.60670860066415322</v>
      </c>
      <c r="AE34">
        <f>V34/$V$3</f>
        <v>1.648237718907096</v>
      </c>
    </row>
    <row r="35" spans="2:31" x14ac:dyDescent="0.25">
      <c r="B35">
        <f>(1/Gam*(1/M_1^2-1/D35^2)+(Gam+1)/2/Gam*LN((M_1^2/D35^2)*(1+D35^2*(Gam-1)/2)/(1+M_1^2*(Gam-1)/2)))*D/f</f>
        <v>23.318092170844185</v>
      </c>
      <c r="C35">
        <f>B35/3.28</f>
        <v>7.109174442330545</v>
      </c>
      <c r="D35">
        <f>D34+0.01</f>
        <v>0.75927482794292334</v>
      </c>
      <c r="E35">
        <f>(Gam/Z/Rg)^0.5*D35*(1+D35^2*(Gam-1)/2)^(-(Gam+1)/2/(Gam-1))</f>
        <v>8.8656155908199724E-2</v>
      </c>
      <c r="F35">
        <f>H35/(1+(Gam-1)/2*D35^2)^(Gam/(Gam-1))</f>
        <v>72.686475420910512</v>
      </c>
      <c r="G35" s="21">
        <f>F35*6.89476</f>
        <v>501.15580327307697</v>
      </c>
      <c r="H35">
        <f>mdot*N35^0.5/A/E35/gc^0.5/144</f>
        <v>106.49374379536509</v>
      </c>
      <c r="I35" s="21">
        <f>H35*6.89476</f>
        <v>734.24880497053141</v>
      </c>
      <c r="J35">
        <f>N35/(1+(Gam-1)/2*D35^2)</f>
        <v>591.47333033121379</v>
      </c>
      <c r="K35">
        <f>J35/1.8</f>
        <v>328.59629462845209</v>
      </c>
      <c r="L35">
        <f>J35-'Example 7.3 - Pipe P2'!$C$8</f>
        <v>131.80333033121377</v>
      </c>
      <c r="M35">
        <f>K35-'Example 7.3 - Pipe P2'!$C$9</f>
        <v>55.446294628452108</v>
      </c>
      <c r="N35">
        <f>N34</f>
        <v>659.67000000000007</v>
      </c>
      <c r="O35">
        <f>O34</f>
        <v>366.48333333333335</v>
      </c>
      <c r="P35">
        <f>N35-'Example 7.3 - Pipe P2'!$C$8</f>
        <v>200.00000000000006</v>
      </c>
      <c r="Q35">
        <f>O35-'Example 7.3 - Pipe P2'!$C$9</f>
        <v>93.333333333333371</v>
      </c>
      <c r="R35">
        <f>F35/J35/Rg/Z*144</f>
        <v>0.33168214318394884</v>
      </c>
      <c r="S35">
        <f>R35*16.01846</f>
        <v>5.3130371433063575</v>
      </c>
      <c r="T35">
        <f>(Gam*F35/R35*gc*144)^0.5</f>
        <v>1192.2396262965419</v>
      </c>
      <c r="U35">
        <f>T35/3.28</f>
        <v>363.48769094406771</v>
      </c>
      <c r="V35">
        <f>D35*T35</f>
        <v>905.2375371230421</v>
      </c>
      <c r="W35">
        <f>V35/3.28</f>
        <v>275.98705400092751</v>
      </c>
      <c r="Y35">
        <f>B35/L</f>
        <v>0.93272368683376738</v>
      </c>
      <c r="Z35">
        <f>D35</f>
        <v>0.75927482794292334</v>
      </c>
      <c r="AA35">
        <f>F35/$F$3</f>
        <v>0.5582954873994076</v>
      </c>
      <c r="AB35">
        <f>H35/$H$3</f>
        <v>0.71643451710198658</v>
      </c>
      <c r="AC35">
        <f>J35/$J$3</f>
        <v>0.9312228083463181</v>
      </c>
      <c r="AD35">
        <f>R35/$R$3</f>
        <v>0.59952943849264018</v>
      </c>
      <c r="AE35">
        <f>V35/$V$3</f>
        <v>1.6679748078997394</v>
      </c>
    </row>
    <row r="36" spans="2:31" x14ac:dyDescent="0.25">
      <c r="B36">
        <f>(1/Gam*(1/M_1^2-1/D36^2)+(Gam+1)/2/Gam*LN((M_1^2/D36^2)*(1+D36^2*(Gam-1)/2)/(1+M_1^2*(Gam-1)/2)))*D/f</f>
        <v>23.493367175453038</v>
      </c>
      <c r="C36">
        <f>B36/3.28</f>
        <v>7.1626119437356826</v>
      </c>
      <c r="D36">
        <f>D35+0.01</f>
        <v>0.76927482794292334</v>
      </c>
      <c r="E36">
        <f>(Gam/Z/Rg)^0.5*D36*(1+D36^2*(Gam-1)/2)^(-(Gam+1)/2/(Gam-1))</f>
        <v>8.9089192966684688E-2</v>
      </c>
      <c r="F36">
        <f>H36/(1+(Gam-1)/2*D36^2)^(Gam/(Gam-1))</f>
        <v>71.643483136824202</v>
      </c>
      <c r="G36" s="21">
        <f>F36*6.89476</f>
        <v>493.96462179245003</v>
      </c>
      <c r="H36">
        <f>mdot*N36^0.5/A/E36/gc^0.5/144</f>
        <v>105.97610819867221</v>
      </c>
      <c r="I36" s="21">
        <f>H36*6.89476</f>
        <v>730.67983176387713</v>
      </c>
      <c r="J36">
        <f>N36/(1+(Gam-1)/2*D36^2)</f>
        <v>589.85650036388893</v>
      </c>
      <c r="K36">
        <f>J36/1.8</f>
        <v>327.69805575771608</v>
      </c>
      <c r="L36">
        <f>J36-'Example 7.3 - Pipe P2'!$C$8</f>
        <v>130.18650036388891</v>
      </c>
      <c r="M36">
        <f>K36-'Example 7.3 - Pipe P2'!$C$9</f>
        <v>54.548055757716099</v>
      </c>
      <c r="N36">
        <f>N35</f>
        <v>659.67000000000007</v>
      </c>
      <c r="O36">
        <f>O35</f>
        <v>366.48333333333335</v>
      </c>
      <c r="P36">
        <f>N36-'Example 7.3 - Pipe P2'!$C$8</f>
        <v>200.00000000000006</v>
      </c>
      <c r="Q36">
        <f>O36-'Example 7.3 - Pipe P2'!$C$9</f>
        <v>93.333333333333371</v>
      </c>
      <c r="R36">
        <f>F36/J36/Rg/Z*144</f>
        <v>0.32781888578068608</v>
      </c>
      <c r="S36">
        <f>R36*16.01846</f>
        <v>5.2511537091224891</v>
      </c>
      <c r="T36">
        <f>(Gam*F36/R36*gc*144)^0.5</f>
        <v>1190.608979741301</v>
      </c>
      <c r="U36">
        <f>T36/3.28</f>
        <v>362.99054260405524</v>
      </c>
      <c r="V36">
        <f>D36*T36</f>
        <v>915.90551803778885</v>
      </c>
      <c r="W36">
        <f>V36/3.28</f>
        <v>279.23948720664293</v>
      </c>
      <c r="Y36">
        <f>B36/L</f>
        <v>0.93973468701812157</v>
      </c>
      <c r="Z36">
        <f>D36</f>
        <v>0.76927482794292334</v>
      </c>
      <c r="AA36">
        <f>F36/$F$3</f>
        <v>0.55028439754774205</v>
      </c>
      <c r="AB36">
        <f>H36/$H$3</f>
        <v>0.71295213404797275</v>
      </c>
      <c r="AC36">
        <f>J36/$J$3</f>
        <v>0.92867725157210546</v>
      </c>
      <c r="AD36">
        <f>R36/$R$3</f>
        <v>0.59254643808297947</v>
      </c>
      <c r="AE36">
        <f>V36/$V$3</f>
        <v>1.6876314424152548</v>
      </c>
    </row>
    <row r="37" spans="2:31" x14ac:dyDescent="0.25">
      <c r="B37">
        <f>(1/Gam*(1/M_1^2-1/D37^2)+(Gam+1)/2/Gam*LN((M_1^2/D37^2)*(1+D37^2*(Gam-1)/2)/(1+M_1^2*(Gam-1)/2)))*D/f</f>
        <v>23.655256394374753</v>
      </c>
      <c r="C37">
        <f>B37/3.28</f>
        <v>7.2119684129191324</v>
      </c>
      <c r="D37">
        <f>D36+0.01</f>
        <v>0.77927482794292335</v>
      </c>
      <c r="E37">
        <f>(Gam/Z/Rg)^0.5*D37*(1+D37^2*(Gam-1)/2)^(-(Gam+1)/2/(Gam-1))</f>
        <v>8.9501646148516703E-2</v>
      </c>
      <c r="F37">
        <f>H37/(1+(Gam-1)/2*D37^2)^(Gam/(Gam-1))</f>
        <v>70.626395906741806</v>
      </c>
      <c r="G37" s="21">
        <f>F37*6.89476</f>
        <v>486.95204944196712</v>
      </c>
      <c r="H37">
        <f>mdot*N37^0.5/A/E37/gc^0.5/144</f>
        <v>105.48773524794252</v>
      </c>
      <c r="I37" s="21">
        <f>H37*6.89476</f>
        <v>727.31261747810413</v>
      </c>
      <c r="J37">
        <f>N37/(1+(Gam-1)/2*D37^2)</f>
        <v>588.22750407582157</v>
      </c>
      <c r="K37">
        <f>J37/1.8</f>
        <v>326.79305781990087</v>
      </c>
      <c r="L37">
        <f>J37-'Example 7.3 - Pipe P2'!$C$8</f>
        <v>128.55750407582156</v>
      </c>
      <c r="M37">
        <f>K37-'Example 7.3 - Pipe P2'!$C$9</f>
        <v>53.643057819900889</v>
      </c>
      <c r="N37">
        <f>N36</f>
        <v>659.67000000000007</v>
      </c>
      <c r="O37">
        <f>O36</f>
        <v>366.48333333333335</v>
      </c>
      <c r="P37">
        <f>N37-'Example 7.3 - Pipe P2'!$C$8</f>
        <v>200.00000000000006</v>
      </c>
      <c r="Q37">
        <f>O37-'Example 7.3 - Pipe P2'!$C$9</f>
        <v>93.333333333333371</v>
      </c>
      <c r="R37">
        <f>F37/J37/Rg/Z*144</f>
        <v>0.32405995323570036</v>
      </c>
      <c r="S37">
        <f>R37*16.01846</f>
        <v>5.1909413985079373</v>
      </c>
      <c r="T37">
        <f>(Gam*F37/R37*gc*144)^0.5</f>
        <v>1188.9638011862965</v>
      </c>
      <c r="U37">
        <f>T37/3.28</f>
        <v>362.4889637763099</v>
      </c>
      <c r="V37">
        <f>D37*T37</f>
        <v>926.52956159981534</v>
      </c>
      <c r="W37">
        <f>V37/3.28</f>
        <v>282.47852487799247</v>
      </c>
      <c r="Y37">
        <f>B37/L</f>
        <v>0.94621025577499007</v>
      </c>
      <c r="Z37">
        <f>D37</f>
        <v>0.77927482794292335</v>
      </c>
      <c r="AA37">
        <f>F37/$F$3</f>
        <v>0.54247228109061085</v>
      </c>
      <c r="AB37">
        <f>H37/$H$3</f>
        <v>0.70966661485546489</v>
      </c>
      <c r="AC37">
        <f>J37/$J$3</f>
        <v>0.92611253999447551</v>
      </c>
      <c r="AD37">
        <f>R37/$R$3</f>
        <v>0.58575200924700455</v>
      </c>
      <c r="AE37">
        <f>V37/$V$3</f>
        <v>1.7072071187353155</v>
      </c>
    </row>
    <row r="38" spans="2:31" x14ac:dyDescent="0.25">
      <c r="B38">
        <f>(1/Gam*(1/M_1^2-1/D38^2)+(Gam+1)/2/Gam*LN((M_1^2/D38^2)*(1+D38^2*(Gam-1)/2)/(1+M_1^2*(Gam-1)/2)))*D/f</f>
        <v>23.804554481409888</v>
      </c>
      <c r="C38">
        <f>B38/3.28</f>
        <v>7.2574861223810636</v>
      </c>
      <c r="D38">
        <f>D37+0.01</f>
        <v>0.78927482794292336</v>
      </c>
      <c r="E38">
        <f>(Gam/Z/Rg)^0.5*D38*(1+D38^2*(Gam-1)/2)^(-(Gam+1)/2/(Gam-1))</f>
        <v>8.9893666440811454E-2</v>
      </c>
      <c r="F38">
        <f>H38/(1+(Gam-1)/2*D38^2)^(Gam/(Gam-1))</f>
        <v>69.634241831288122</v>
      </c>
      <c r="G38" s="21">
        <f>F38*6.89476</f>
        <v>480.11138520869207</v>
      </c>
      <c r="H38">
        <f>mdot*N38^0.5/A/E38/gc^0.5/144</f>
        <v>105.02771026016836</v>
      </c>
      <c r="I38" s="21">
        <f>H38*6.89476</f>
        <v>724.14085559339844</v>
      </c>
      <c r="J38">
        <f>N38/(1+(Gam-1)/2*D38^2)</f>
        <v>586.58661580717535</v>
      </c>
      <c r="K38">
        <f>J38/1.8</f>
        <v>325.88145322620852</v>
      </c>
      <c r="L38">
        <f>J38-'Example 7.3 - Pipe P2'!$C$8</f>
        <v>126.91661580717533</v>
      </c>
      <c r="M38">
        <f>K38-'Example 7.3 - Pipe P2'!$C$9</f>
        <v>52.731453226208544</v>
      </c>
      <c r="N38">
        <f>N37</f>
        <v>659.67000000000007</v>
      </c>
      <c r="O38">
        <f>O37</f>
        <v>366.48333333333335</v>
      </c>
      <c r="P38">
        <f>N38-'Example 7.3 - Pipe P2'!$C$8</f>
        <v>200.00000000000006</v>
      </c>
      <c r="Q38">
        <f>O38-'Example 7.3 - Pipe P2'!$C$9</f>
        <v>93.333333333333371</v>
      </c>
      <c r="R38">
        <f>F38/J38/Rg/Z*144</f>
        <v>0.32040135905538503</v>
      </c>
      <c r="S38">
        <f>R38*16.01846</f>
        <v>5.1323363539743232</v>
      </c>
      <c r="T38">
        <f>(Gam*F38/R38*gc*144)^0.5</f>
        <v>1187.3043078677445</v>
      </c>
      <c r="U38">
        <f>T38/3.28</f>
        <v>361.98302069138555</v>
      </c>
      <c r="V38">
        <f>D38*T38</f>
        <v>937.10940330820574</v>
      </c>
      <c r="W38">
        <f>V38/3.28</f>
        <v>285.70408637445297</v>
      </c>
      <c r="Y38">
        <f>B38/L</f>
        <v>0.95218217925639548</v>
      </c>
      <c r="Z38">
        <f>D38</f>
        <v>0.78927482794292336</v>
      </c>
      <c r="AA38">
        <f>F38/$F$3</f>
        <v>0.53485167299366942</v>
      </c>
      <c r="AB38">
        <f>H38/$H$3</f>
        <v>0.706571806012946</v>
      </c>
      <c r="AC38">
        <f>J38/$J$3</f>
        <v>0.92352910553792</v>
      </c>
      <c r="AD38">
        <f>R38/$R$3</f>
        <v>0.57913894622967943</v>
      </c>
      <c r="AE38">
        <f>V38/$V$3</f>
        <v>1.7267013494951735</v>
      </c>
    </row>
    <row r="39" spans="2:31" x14ac:dyDescent="0.25">
      <c r="B39">
        <f>(1/Gam*(1/M_1^2-1/D39^2)+(Gam+1)/2/Gam*LN((M_1^2/D39^2)*(1+D39^2*(Gam-1)/2)/(1+M_1^2*(Gam-1)/2)))*D/f</f>
        <v>23.942003832418457</v>
      </c>
      <c r="C39">
        <f>B39/3.28</f>
        <v>7.2993914123227013</v>
      </c>
      <c r="D39">
        <f>D38+0.01</f>
        <v>0.79927482794292337</v>
      </c>
      <c r="E39">
        <f>(Gam/Z/Rg)^0.5*D39*(1+D39^2*(Gam-1)/2)^(-(Gam+1)/2/(Gam-1))</f>
        <v>9.0265412451287205E-2</v>
      </c>
      <c r="F39">
        <f>H39/(1+(Gam-1)/2*D39^2)^(Gam/(Gam-1))</f>
        <v>68.666097660766169</v>
      </c>
      <c r="G39" s="21">
        <f>F39*6.89476</f>
        <v>473.43626350754414</v>
      </c>
      <c r="H39">
        <f>mdot*N39^0.5/A/E39/gc^0.5/144</f>
        <v>104.59516770351973</v>
      </c>
      <c r="I39" s="21">
        <f>H39*6.89476</f>
        <v>721.15857847551968</v>
      </c>
      <c r="J39">
        <f>N39/(1+(Gam-1)/2*D39^2)</f>
        <v>584.93410939578814</v>
      </c>
      <c r="K39">
        <f>J39/1.8</f>
        <v>324.96339410877118</v>
      </c>
      <c r="L39">
        <f>J39-'Example 7.3 - Pipe P2'!$C$8</f>
        <v>125.26410939578813</v>
      </c>
      <c r="M39">
        <f>K39-'Example 7.3 - Pipe P2'!$C$9</f>
        <v>51.813394108771206</v>
      </c>
      <c r="N39">
        <f>N38</f>
        <v>659.67000000000007</v>
      </c>
      <c r="O39">
        <f>O38</f>
        <v>366.48333333333335</v>
      </c>
      <c r="P39">
        <f>N39-'Example 7.3 - Pipe P2'!$C$8</f>
        <v>200.00000000000006</v>
      </c>
      <c r="Q39">
        <f>O39-'Example 7.3 - Pipe P2'!$C$9</f>
        <v>93.333333333333371</v>
      </c>
      <c r="R39">
        <f>F39/J39/Rg/Z*144</f>
        <v>0.31683931612840344</v>
      </c>
      <c r="S39">
        <f>R39*16.01846</f>
        <v>5.0752779118301854</v>
      </c>
      <c r="T39">
        <f>(Gam*F39/R39*gc*144)^0.5</f>
        <v>1185.6307172052304</v>
      </c>
      <c r="U39">
        <f>T39/3.28</f>
        <v>361.47277963574101</v>
      </c>
      <c r="V39">
        <f>D39*T39</f>
        <v>947.64478749805539</v>
      </c>
      <c r="W39">
        <f>V39/3.28</f>
        <v>288.91609374940714</v>
      </c>
      <c r="Y39">
        <f>B39/L</f>
        <v>0.95768015329673828</v>
      </c>
      <c r="Z39">
        <f>D39</f>
        <v>0.79927482794292337</v>
      </c>
      <c r="AA39">
        <f>F39/$F$3</f>
        <v>0.52741548189450715</v>
      </c>
      <c r="AB39">
        <f>H39/$H$3</f>
        <v>0.70366188467245783</v>
      </c>
      <c r="AC39">
        <f>J39/$J$3</f>
        <v>0.92092737933606306</v>
      </c>
      <c r="AD39">
        <f>R39/$R$3</f>
        <v>0.57270040366781594</v>
      </c>
      <c r="AE39">
        <f>V39/$V$3</f>
        <v>1.7461136636111598</v>
      </c>
    </row>
    <row r="40" spans="2:31" x14ac:dyDescent="0.25">
      <c r="B40">
        <f>(1/Gam*(1/M_1^2-1/D40^2)+(Gam+1)/2/Gam*LN((M_1^2/D40^2)*(1+D40^2*(Gam-1)/2)/(1+M_1^2*(Gam-1)/2)))*D/f</f>
        <v>24.068298533855071</v>
      </c>
      <c r="C40">
        <f>B40/3.28</f>
        <v>7.3378958944680095</v>
      </c>
      <c r="D40">
        <f>D39+0.01</f>
        <v>0.80927482794292338</v>
      </c>
      <c r="E40">
        <f>(Gam/Z/Rg)^0.5*D40*(1+D40^2*(Gam-1)/2)^(-(Gam+1)/2/(Gam-1))</f>
        <v>9.0617050148843428E-2</v>
      </c>
      <c r="F40">
        <f>H40/(1+(Gam-1)/2*D40^2)^(Gam/(Gam-1))</f>
        <v>67.721085785747348</v>
      </c>
      <c r="G40" s="21">
        <f>F40*6.89476</f>
        <v>466.92063343213937</v>
      </c>
      <c r="H40">
        <f>mdot*N40^0.5/A/E40/gc^0.5/144</f>
        <v>104.18928819313665</v>
      </c>
      <c r="I40" s="21">
        <f>H40*6.89476</f>
        <v>718.36013666251085</v>
      </c>
      <c r="J40">
        <f>N40/(1+(Gam-1)/2*D40^2)</f>
        <v>583.27025808728945</v>
      </c>
      <c r="K40">
        <f>J40/1.8</f>
        <v>324.03903227071635</v>
      </c>
      <c r="L40">
        <f>J40-'Example 7.3 - Pipe P2'!$C$8</f>
        <v>123.60025808728943</v>
      </c>
      <c r="M40">
        <f>K40-'Example 7.3 - Pipe P2'!$C$9</f>
        <v>50.88903227071637</v>
      </c>
      <c r="N40">
        <f>N39</f>
        <v>659.67000000000007</v>
      </c>
      <c r="O40">
        <f>O39</f>
        <v>366.48333333333335</v>
      </c>
      <c r="P40">
        <f>N40-'Example 7.3 - Pipe P2'!$C$8</f>
        <v>200.00000000000006</v>
      </c>
      <c r="Q40">
        <f>O40-'Example 7.3 - Pipe P2'!$C$9</f>
        <v>93.333333333333371</v>
      </c>
      <c r="R40">
        <f>F40/J40/Rg/Z*144</f>
        <v>0.31337022441123835</v>
      </c>
      <c r="S40">
        <f>R40*16.01846</f>
        <v>5.0197084049224454</v>
      </c>
      <c r="T40">
        <f>(Gam*F40/R40*gc*144)^0.5</f>
        <v>1183.943246737857</v>
      </c>
      <c r="U40">
        <f>T40/3.28</f>
        <v>360.9583069322735</v>
      </c>
      <c r="V40">
        <f>D40*T40</f>
        <v>958.13546729796531</v>
      </c>
      <c r="W40">
        <f>V40/3.28</f>
        <v>292.11447173718454</v>
      </c>
      <c r="Y40">
        <f>B40/L</f>
        <v>0.96273194135420281</v>
      </c>
      <c r="Z40">
        <f>D40</f>
        <v>0.80927482794292338</v>
      </c>
      <c r="AA40">
        <f>F40/$F$3</f>
        <v>0.52015696698775626</v>
      </c>
      <c r="AB40">
        <f>H40/$H$3</f>
        <v>0.70093133843885314</v>
      </c>
      <c r="AC40">
        <f>J40/$J$3</f>
        <v>0.91830779159014864</v>
      </c>
      <c r="AD40">
        <f>R40/$R$3</f>
        <v>0.56642987433118541</v>
      </c>
      <c r="AE40">
        <f>V40/$V$3</f>
        <v>1.7654436062023651</v>
      </c>
    </row>
    <row r="41" spans="2:31" x14ac:dyDescent="0.25">
      <c r="B41">
        <f>(1/Gam*(1/M_1^2-1/D41^2)+(Gam+1)/2/Gam*LN((M_1^2/D41^2)*(1+D41^2*(Gam-1)/2)/(1+M_1^2*(Gam-1)/2)))*D/f</f>
        <v>24.184087971279137</v>
      </c>
      <c r="C41">
        <f>B41/3.28</f>
        <v>7.3731975522192492</v>
      </c>
      <c r="D41">
        <f>D40+0.01</f>
        <v>0.81927482794292339</v>
      </c>
      <c r="E41">
        <f>(Gam/Z/Rg)^0.5*D41*(1+D41^2*(Gam-1)/2)^(-(Gam+1)/2/(Gam-1))</f>
        <v>9.0948752602910229E-2</v>
      </c>
      <c r="F41">
        <f>H41/(1+(Gam-1)/2*D41^2)^(Gam/(Gam-1))</f>
        <v>66.798371448109648</v>
      </c>
      <c r="G41" s="21">
        <f>F41*6.89476</f>
        <v>460.55873952556846</v>
      </c>
      <c r="H41">
        <f>mdot*N41^0.5/A/E41/gc^0.5/144</f>
        <v>103.80929570734602</v>
      </c>
      <c r="I41" s="21">
        <f>H41*6.89476</f>
        <v>715.74017967118107</v>
      </c>
      <c r="J41">
        <f>N41/(1+(Gam-1)/2*D41^2)</f>
        <v>581.59533444703254</v>
      </c>
      <c r="K41">
        <f>J41/1.8</f>
        <v>323.10851913724031</v>
      </c>
      <c r="L41">
        <f>J41-'Example 7.3 - Pipe P2'!$C$8</f>
        <v>121.92533444703253</v>
      </c>
      <c r="M41">
        <f>K41-'Example 7.3 - Pipe P2'!$C$9</f>
        <v>49.95851913724033</v>
      </c>
      <c r="N41">
        <f>N40</f>
        <v>659.67000000000007</v>
      </c>
      <c r="O41">
        <f>O40</f>
        <v>366.48333333333335</v>
      </c>
      <c r="P41">
        <f>N41-'Example 7.3 - Pipe P2'!$C$8</f>
        <v>200.00000000000006</v>
      </c>
      <c r="Q41">
        <f>O41-'Example 7.3 - Pipe P2'!$C$9</f>
        <v>93.333333333333371</v>
      </c>
      <c r="R41">
        <f>F41/J41/Rg/Z*144</f>
        <v>0.30999065951557664</v>
      </c>
      <c r="S41">
        <f>R41*16.01846</f>
        <v>4.9655729798238841</v>
      </c>
      <c r="T41">
        <f>(Gam*F41/R41*gc*144)^0.5</f>
        <v>1182.2421140613192</v>
      </c>
      <c r="U41">
        <f>T41/3.28</f>
        <v>360.43966892113389</v>
      </c>
      <c r="V41">
        <f>D41*T41</f>
        <v>968.58120458446524</v>
      </c>
      <c r="W41">
        <f>V41/3.28</f>
        <v>295.29914773916624</v>
      </c>
      <c r="Y41">
        <f>B41/L</f>
        <v>0.96736351885116545</v>
      </c>
      <c r="Z41">
        <f>D41</f>
        <v>0.81927482794292339</v>
      </c>
      <c r="AA41">
        <f>F41/$F$3</f>
        <v>0.51306971660343426</v>
      </c>
      <c r="AB41">
        <f>H41/$H$3</f>
        <v>0.69837494664195177</v>
      </c>
      <c r="AC41">
        <f>J41/$J$3</f>
        <v>0.91567077143038544</v>
      </c>
      <c r="AD41">
        <f>R41/$R$3</f>
        <v>0.56032116849373603</v>
      </c>
      <c r="AE41">
        <f>V41/$V$3</f>
        <v>1.7846907385066595</v>
      </c>
    </row>
    <row r="42" spans="2:31" x14ac:dyDescent="0.25">
      <c r="B42">
        <f>(1/Gam*(1/M_1^2-1/D42^2)+(Gam+1)/2/Gam*LN((M_1^2/D42^2)*(1+D42^2*(Gam-1)/2)/(1+M_1^2*(Gam-1)/2)))*D/f</f>
        <v>24.289980130730562</v>
      </c>
      <c r="C42">
        <f>B42/3.28</f>
        <v>7.405481747173952</v>
      </c>
      <c r="D42">
        <f>D41+0.01</f>
        <v>0.8292748279429234</v>
      </c>
      <c r="E42">
        <f>(Gam/Z/Rg)^0.5*D42*(1+D42^2*(Gam-1)/2)^(-(Gam+1)/2/(Gam-1))</f>
        <v>9.1260699721920052E-2</v>
      </c>
      <c r="F42">
        <f>H42/(1+(Gam-1)/2*D42^2)^(Gam/(Gam-1))</f>
        <v>65.897160153916786</v>
      </c>
      <c r="G42" s="21">
        <f>F42*6.89476</f>
        <v>454.34510394281926</v>
      </c>
      <c r="H42">
        <f>mdot*N42^0.5/A/E42/gc^0.5/144</f>
        <v>103.45445500569657</v>
      </c>
      <c r="I42" s="21">
        <f>H42*6.89476</f>
        <v>713.29363819507648</v>
      </c>
      <c r="J42">
        <f>N42/(1+(Gam-1)/2*D42^2)</f>
        <v>579.90961027386993</v>
      </c>
      <c r="K42">
        <f>J42/1.8</f>
        <v>322.17200570770552</v>
      </c>
      <c r="L42">
        <f>J42-'Example 7.3 - Pipe P2'!$C$8</f>
        <v>120.23961027386991</v>
      </c>
      <c r="M42">
        <f>K42-'Example 7.3 - Pipe P2'!$C$9</f>
        <v>49.022005707705546</v>
      </c>
      <c r="N42">
        <f>N41</f>
        <v>659.67000000000007</v>
      </c>
      <c r="O42">
        <f>O41</f>
        <v>366.48333333333335</v>
      </c>
      <c r="P42">
        <f>N42-'Example 7.3 - Pipe P2'!$C$8</f>
        <v>200.00000000000006</v>
      </c>
      <c r="Q42">
        <f>O42-'Example 7.3 - Pipe P2'!$C$9</f>
        <v>93.333333333333371</v>
      </c>
      <c r="R42">
        <f>F42/J42/Rg/Z*144</f>
        <v>0.30669736212140214</v>
      </c>
      <c r="S42">
        <f>R42*16.01846</f>
        <v>4.9128194272471957</v>
      </c>
      <c r="T42">
        <f>(Gam*F42/R42*gc*144)^0.5</f>
        <v>1180.5275367659285</v>
      </c>
      <c r="U42">
        <f>T42/3.28</f>
        <v>359.91693194083189</v>
      </c>
      <c r="V42">
        <f>D42*T42</f>
        <v>978.9817699334485</v>
      </c>
      <c r="W42">
        <f>V42/3.28</f>
        <v>298.47005180897821</v>
      </c>
      <c r="Y42">
        <f>B42/L</f>
        <v>0.9715992052292225</v>
      </c>
      <c r="Z42">
        <f>D42</f>
        <v>0.8292748279429234</v>
      </c>
      <c r="AA42">
        <f>F42/$F$3</f>
        <v>0.50614762833560079</v>
      </c>
      <c r="AB42">
        <f>H42/$H$3</f>
        <v>0.69598776296642184</v>
      </c>
      <c r="AC42">
        <f>J42/$J$3</f>
        <v>0.91301674678019418</v>
      </c>
      <c r="AD42">
        <f>R42/$R$3</f>
        <v>0.5543683947973127</v>
      </c>
      <c r="AE42">
        <f>V42/$V$3</f>
        <v>1.8038546377912084</v>
      </c>
    </row>
    <row r="43" spans="2:31" x14ac:dyDescent="0.25">
      <c r="B43">
        <f>(1/Gam*(1/M_1^2-1/D43^2)+(Gam+1)/2/Gam*LN((M_1^2/D43^2)*(1+D43^2*(Gam-1)/2)/(1+M_1^2*(Gam-1)/2)))*D/f</f>
        <v>24.386544622334437</v>
      </c>
      <c r="C43">
        <f>B43/3.28</f>
        <v>7.4349221409556216</v>
      </c>
      <c r="D43">
        <f>D42+0.01</f>
        <v>0.83927482794292341</v>
      </c>
      <c r="E43">
        <f>(Gam/Z/Rg)^0.5*D43*(1+D43^2*(Gam-1)/2)^(-(Gam+1)/2/(Gam-1))</f>
        <v>9.1553077991243154E-2</v>
      </c>
      <c r="F43">
        <f>H43/(1+(Gam-1)/2*D43^2)^(Gam/(Gam-1))</f>
        <v>65.016695271304755</v>
      </c>
      <c r="G43" s="21">
        <f>F43*6.89476</f>
        <v>448.27450988878115</v>
      </c>
      <c r="H43">
        <f>mdot*N43^0.5/A/E43/gc^0.5/144</f>
        <v>103.12406923197936</v>
      </c>
      <c r="I43" s="21">
        <f>H43*6.89476</f>
        <v>711.01570757788204</v>
      </c>
      <c r="J43">
        <f>N43/(1+(Gam-1)/2*D43^2)</f>
        <v>578.21335651579943</v>
      </c>
      <c r="K43">
        <f>J43/1.8</f>
        <v>321.22964250877743</v>
      </c>
      <c r="L43">
        <f>J43-'Example 7.3 - Pipe P2'!$C$8</f>
        <v>118.54335651579942</v>
      </c>
      <c r="M43">
        <f>K43-'Example 7.3 - Pipe P2'!$C$9</f>
        <v>48.079642508777454</v>
      </c>
      <c r="N43">
        <f>N42</f>
        <v>659.67000000000007</v>
      </c>
      <c r="O43">
        <f>O42</f>
        <v>366.48333333333335</v>
      </c>
      <c r="P43">
        <f>N43-'Example 7.3 - Pipe P2'!$C$8</f>
        <v>200.00000000000006</v>
      </c>
      <c r="Q43">
        <f>O43-'Example 7.3 - Pipe P2'!$C$9</f>
        <v>93.333333333333371</v>
      </c>
      <c r="R43">
        <f>F43/J43/Rg/Z*144</f>
        <v>0.30348722814692669</v>
      </c>
      <c r="S43">
        <f>R43*16.01846</f>
        <v>4.86139802458242</v>
      </c>
      <c r="T43">
        <f>(Gam*F43/R43*gc*144)^0.5</f>
        <v>1178.7997323756056</v>
      </c>
      <c r="U43">
        <f>T43/3.28</f>
        <v>359.39016230963585</v>
      </c>
      <c r="V43">
        <f>D43*T43</f>
        <v>989.33694256870058</v>
      </c>
      <c r="W43">
        <f>V43/3.28</f>
        <v>301.62711663679897</v>
      </c>
      <c r="Y43">
        <f>B43/L</f>
        <v>0.97546178489337754</v>
      </c>
      <c r="Z43">
        <f>D43</f>
        <v>0.83927482794292341</v>
      </c>
      <c r="AA43">
        <f>F43/$F$3</f>
        <v>0.49938489059203234</v>
      </c>
      <c r="AB43">
        <f>H43/$H$3</f>
        <v>0.69376509932614938</v>
      </c>
      <c r="AC43">
        <f>J43/$J$3</f>
        <v>0.91034614422339954</v>
      </c>
      <c r="AD43">
        <f>R43/$R$3</f>
        <v>0.54856594248339341</v>
      </c>
      <c r="AE43">
        <f>V43/$V$3</f>
        <v>1.8229348972576314</v>
      </c>
    </row>
    <row r="44" spans="2:31" x14ac:dyDescent="0.25">
      <c r="B44">
        <f>(1/Gam*(1/M_1^2-1/D44^2)+(Gam+1)/2/Gam*LN((M_1^2/D44^2)*(1+D44^2*(Gam-1)/2)/(1+M_1^2*(Gam-1)/2)))*D/f</f>
        <v>24.474315452386811</v>
      </c>
      <c r="C44">
        <f>B44/3.28</f>
        <v>7.4616815403618331</v>
      </c>
      <c r="D44">
        <f>D43+0.01</f>
        <v>0.84927482794292342</v>
      </c>
      <c r="E44">
        <f>(Gam/Z/Rg)^0.5*D44*(1+D44^2*(Gam-1)/2)^(-(Gam+1)/2/(Gam-1))</f>
        <v>9.1826080210920938E-2</v>
      </c>
      <c r="F44">
        <f>H44/(1+(Gam-1)/2*D44^2)^(Gam/(Gam-1))</f>
        <v>64.1562557981282</v>
      </c>
      <c r="G44" s="21">
        <f>F44*6.89476</f>
        <v>442.34198622670237</v>
      </c>
      <c r="H44">
        <f>mdot*N44^0.5/A/E44/gc^0.5/144</f>
        <v>102.81747768698615</v>
      </c>
      <c r="I44" s="21">
        <f>H44*6.89476</f>
        <v>708.90183245712467</v>
      </c>
      <c r="J44">
        <f>N44/(1+(Gam-1)/2*D44^2)</f>
        <v>576.5068431875078</v>
      </c>
      <c r="K44">
        <f>J44/1.8</f>
        <v>320.28157954861541</v>
      </c>
      <c r="L44">
        <f>J44-'Example 7.3 - Pipe P2'!$C$8</f>
        <v>116.83684318750778</v>
      </c>
      <c r="M44">
        <f>K44-'Example 7.3 - Pipe P2'!$C$9</f>
        <v>47.131579548615434</v>
      </c>
      <c r="N44">
        <f>N43</f>
        <v>659.67000000000007</v>
      </c>
      <c r="O44">
        <f>O43</f>
        <v>366.48333333333335</v>
      </c>
      <c r="P44">
        <f>N44-'Example 7.3 - Pipe P2'!$C$8</f>
        <v>200.00000000000006</v>
      </c>
      <c r="Q44">
        <f>O44-'Example 7.3 - Pipe P2'!$C$9</f>
        <v>93.333333333333371</v>
      </c>
      <c r="R44">
        <f>F44/J44/Rg/Z*144</f>
        <v>0.30035729961297725</v>
      </c>
      <c r="S44">
        <f>R44*16.01846</f>
        <v>4.8112613895584921</v>
      </c>
      <c r="T44">
        <f>(Gam*F44/R44*gc*144)^0.5</f>
        <v>1177.0589182878653</v>
      </c>
      <c r="U44">
        <f>T44/3.28</f>
        <v>358.85942630727601</v>
      </c>
      <c r="V44">
        <f>D44*T44</f>
        <v>999.64651030761036</v>
      </c>
      <c r="W44">
        <f>V44/3.28</f>
        <v>304.77027753280805</v>
      </c>
      <c r="Y44">
        <f>B44/L</f>
        <v>0.97897261809547242</v>
      </c>
      <c r="Z44">
        <f>D44</f>
        <v>0.84927482794292342</v>
      </c>
      <c r="AA44">
        <f>F44/$F$3</f>
        <v>0.49277596544780122</v>
      </c>
      <c r="AB44">
        <f>H44/$H$3</f>
        <v>0.69170251088051404</v>
      </c>
      <c r="AC44">
        <f>J44/$J$3</f>
        <v>0.90765938887440978</v>
      </c>
      <c r="AD44">
        <f>R44/$R$3</f>
        <v>0.54290846488008415</v>
      </c>
      <c r="AE44">
        <f>V44/$V$3</f>
        <v>1.8419311259419706</v>
      </c>
    </row>
    <row r="45" spans="2:31" x14ac:dyDescent="0.25">
      <c r="B45">
        <f>(1/Gam*(1/M_1^2-1/D45^2)+(Gam+1)/2/Gam*LN((M_1^2/D45^2)*(1+D45^2*(Gam-1)/2)/(1+M_1^2*(Gam-1)/2)))*D/f</f>
        <v>24.553793567422897</v>
      </c>
      <c r="C45">
        <f>B45/3.28</f>
        <v>7.485912672994786</v>
      </c>
      <c r="D45">
        <f>D44+0.01</f>
        <v>0.85927482794292342</v>
      </c>
      <c r="E45">
        <f>(Gam/Z/Rg)^0.5*D45*(1+D45^2*(Gam-1)/2)^(-(Gam+1)/2/(Gam-1))</f>
        <v>9.2079905233520512E-2</v>
      </c>
      <c r="F45">
        <f>H45/(1+(Gam-1)/2*D45^2)^(Gam/(Gam-1))</f>
        <v>63.315154285538306</v>
      </c>
      <c r="G45" s="21">
        <f>F45*6.89476</f>
        <v>436.54279316175808</v>
      </c>
      <c r="H45">
        <f>mdot*N45^0.5/A/E45/gc^0.5/144</f>
        <v>102.53405375717927</v>
      </c>
      <c r="I45" s="21">
        <f>H45*6.89476</f>
        <v>706.94769248284933</v>
      </c>
      <c r="J45">
        <f>N45/(1+(Gam-1)/2*D45^2)</f>
        <v>574.79033928982994</v>
      </c>
      <c r="K45">
        <f>J45/1.8</f>
        <v>319.32796627212775</v>
      </c>
      <c r="L45">
        <f>J45-'Example 7.3 - Pipe P2'!$C$8</f>
        <v>115.12033928982993</v>
      </c>
      <c r="M45">
        <f>K45-'Example 7.3 - Pipe P2'!$C$9</f>
        <v>46.177966272127776</v>
      </c>
      <c r="N45">
        <f>N44</f>
        <v>659.67000000000007</v>
      </c>
      <c r="O45">
        <f>O44</f>
        <v>366.48333333333335</v>
      </c>
      <c r="P45">
        <f>N45-'Example 7.3 - Pipe P2'!$C$8</f>
        <v>200.00000000000006</v>
      </c>
      <c r="Q45">
        <f>O45-'Example 7.3 - Pipe P2'!$C$9</f>
        <v>93.333333333333371</v>
      </c>
      <c r="R45">
        <f>F45/J45/Rg/Z*144</f>
        <v>0.29730475614526553</v>
      </c>
      <c r="S45">
        <f>R45*16.01846</f>
        <v>4.7623643441226902</v>
      </c>
      <c r="T45">
        <f>(Gam*F45/R45*gc*144)^0.5</f>
        <v>1175.3053117148106</v>
      </c>
      <c r="U45">
        <f>T45/3.28</f>
        <v>358.32479015695446</v>
      </c>
      <c r="V45">
        <f>D45*T45</f>
        <v>1009.9102695041479</v>
      </c>
      <c r="W45">
        <f>V45/3.28</f>
        <v>307.89947240980121</v>
      </c>
      <c r="Y45">
        <f>B45/L</f>
        <v>0.98215174269691585</v>
      </c>
      <c r="Z45">
        <f>D45</f>
        <v>0.85927482794292342</v>
      </c>
      <c r="AA45">
        <f>F45/$F$3</f>
        <v>0.48631557269654307</v>
      </c>
      <c r="AB45">
        <f>H45/$H$3</f>
        <v>0.68979578209955839</v>
      </c>
      <c r="AC45">
        <f>J45/$J$3</f>
        <v>0.90495690425141273</v>
      </c>
      <c r="AD45">
        <f>R45/$R$3</f>
        <v>0.53739086404211378</v>
      </c>
      <c r="AE45">
        <f>V45/$V$3</f>
        <v>1.8608429486096236</v>
      </c>
    </row>
    <row r="46" spans="2:31" x14ac:dyDescent="0.25">
      <c r="B46">
        <f>(1/Gam*(1/M_1^2-1/D46^2)+(Gam+1)/2/Gam*LN((M_1^2/D46^2)*(1+D46^2*(Gam-1)/2)/(1+M_1^2*(Gam-1)/2)))*D/f</f>
        <v>24.625449191334692</v>
      </c>
      <c r="C46">
        <f>B46/3.28</f>
        <v>7.5077588997971629</v>
      </c>
      <c r="D46">
        <f>D45+0.01</f>
        <v>0.86927482794292343</v>
      </c>
      <c r="E46">
        <f>(Gam/Z/Rg)^0.5*D46*(1+D46^2*(Gam-1)/2)^(-(Gam+1)/2/(Gam-1))</f>
        <v>9.2314757702425906E-2</v>
      </c>
      <c r="F46">
        <f>H46/(1+(Gam-1)/2*D46^2)^(Gam/(Gam-1))</f>
        <v>62.492734904936228</v>
      </c>
      <c r="G46" s="21">
        <f>F46*6.89476</f>
        <v>430.8724089131581</v>
      </c>
      <c r="H46">
        <f>mdot*N46^0.5/A/E46/gc^0.5/144</f>
        <v>102.2732029867166</v>
      </c>
      <c r="I46" s="21">
        <f>H46*6.89476</f>
        <v>705.14918902469412</v>
      </c>
      <c r="J46">
        <f>N46/(1+(Gam-1)/2*D46^2)</f>
        <v>573.06411273114702</v>
      </c>
      <c r="K46">
        <f>J46/1.8</f>
        <v>318.36895151730391</v>
      </c>
      <c r="L46">
        <f>J46-'Example 7.3 - Pipe P2'!$C$8</f>
        <v>113.394112731147</v>
      </c>
      <c r="M46">
        <f>K46-'Example 7.3 - Pipe P2'!$C$9</f>
        <v>45.218951517303935</v>
      </c>
      <c r="N46">
        <f>N45</f>
        <v>659.67000000000007</v>
      </c>
      <c r="O46">
        <f>O45</f>
        <v>366.48333333333335</v>
      </c>
      <c r="P46">
        <f>N46-'Example 7.3 - Pipe P2'!$C$8</f>
        <v>200.00000000000006</v>
      </c>
      <c r="Q46">
        <f>O46-'Example 7.3 - Pipe P2'!$C$9</f>
        <v>93.333333333333371</v>
      </c>
      <c r="R46">
        <f>F46/J46/Rg/Z*144</f>
        <v>0.29432690706317027</v>
      </c>
      <c r="S46">
        <f>R46*16.01846</f>
        <v>4.7146637877151107</v>
      </c>
      <c r="T46">
        <f>(Gam*F46/R46*gc*144)^0.5</f>
        <v>1173.5391296251546</v>
      </c>
      <c r="U46">
        <f>T46/3.28</f>
        <v>357.78632000766913</v>
      </c>
      <c r="V46">
        <f>D46*T46</f>
        <v>1020.1280249891944</v>
      </c>
      <c r="W46">
        <f>V46/3.28</f>
        <v>311.01464176499832</v>
      </c>
      <c r="Y46">
        <f>B46/L</f>
        <v>0.98501796765338767</v>
      </c>
      <c r="Z46">
        <f>D46</f>
        <v>0.86927482794292343</v>
      </c>
      <c r="AA46">
        <f>F46/$F$3</f>
        <v>0.47999867500297483</v>
      </c>
      <c r="AB46">
        <f>H46/$H$3</f>
        <v>0.68804091379357402</v>
      </c>
      <c r="AC46">
        <f>J46/$J$3</f>
        <v>0.90223911215262353</v>
      </c>
      <c r="AD46">
        <f>R46/$R$3</f>
        <v>0.53200827645097448</v>
      </c>
      <c r="AE46">
        <f>V46/$V$3</f>
        <v>1.8796700056453952</v>
      </c>
    </row>
    <row r="47" spans="2:31" x14ac:dyDescent="0.25">
      <c r="B47">
        <f>(1/Gam*(1/M_1^2-1/D47^2)+(Gam+1)/2/Gam*LN((M_1^2/D47^2)*(1+D47^2*(Gam-1)/2)/(1+M_1^2*(Gam-1)/2)))*D/f</f>
        <v>24.689723974447094</v>
      </c>
      <c r="C47">
        <f>B47/3.28</f>
        <v>7.5273548702582609</v>
      </c>
      <c r="D47">
        <f>D46+0.01</f>
        <v>0.87927482794292344</v>
      </c>
      <c r="E47">
        <f>(Gam/Z/Rg)^0.5*D47*(1+D47^2*(Gam-1)/2)^(-(Gam+1)/2/(Gam-1))</f>
        <v>9.2530847790870521E-2</v>
      </c>
      <c r="F47">
        <f>H47/(1+(Gam-1)/2*D47^2)^(Gam/(Gam-1))</f>
        <v>61.68837164688896</v>
      </c>
      <c r="G47" s="21">
        <f>F47*6.89476</f>
        <v>425.3265172961041</v>
      </c>
      <c r="H47">
        <f>mdot*N47^0.5/A/E47/gc^0.5/144</f>
        <v>102.03436128141996</v>
      </c>
      <c r="I47" s="21">
        <f>H47*6.89476</f>
        <v>703.50243278868311</v>
      </c>
      <c r="J47">
        <f>N47/(1+(Gam-1)/2*D47^2)</f>
        <v>571.32843025074044</v>
      </c>
      <c r="K47">
        <f>J47/1.8</f>
        <v>317.40468347263356</v>
      </c>
      <c r="L47">
        <f>J47-'Example 7.3 - Pipe P2'!$C$8</f>
        <v>111.65843025074042</v>
      </c>
      <c r="M47">
        <f>K47-'Example 7.3 - Pipe P2'!$C$9</f>
        <v>44.254683472633587</v>
      </c>
      <c r="N47">
        <f>N46</f>
        <v>659.67000000000007</v>
      </c>
      <c r="O47">
        <f>O46</f>
        <v>366.48333333333335</v>
      </c>
      <c r="P47">
        <f>N47-'Example 7.3 - Pipe P2'!$C$8</f>
        <v>200.00000000000006</v>
      </c>
      <c r="Q47">
        <f>O47-'Example 7.3 - Pipe P2'!$C$9</f>
        <v>93.333333333333371</v>
      </c>
      <c r="R47">
        <f>F47/J47/Rg/Z*144</f>
        <v>0.29142118400834022</v>
      </c>
      <c r="S47">
        <f>R47*16.01846</f>
        <v>4.6681185791902378</v>
      </c>
      <c r="T47">
        <f>(Gam*F47/R47*gc*144)^0.5</f>
        <v>1171.7605886872868</v>
      </c>
      <c r="U47">
        <f>T47/3.28</f>
        <v>357.24408191685575</v>
      </c>
      <c r="V47">
        <f>D47*T47</f>
        <v>1030.2995900083129</v>
      </c>
      <c r="W47">
        <f>V47/3.28</f>
        <v>314.11572866107099</v>
      </c>
      <c r="Y47">
        <f>B47/L</f>
        <v>0.98758895897788379</v>
      </c>
      <c r="Z47">
        <f>D47</f>
        <v>0.87927482794292344</v>
      </c>
      <c r="AA47">
        <f>F47/$F$3</f>
        <v>0.47382046406899841</v>
      </c>
      <c r="AB47">
        <f>H47/$H$3</f>
        <v>0.68643411103033547</v>
      </c>
      <c r="AC47">
        <f>J47/$J$3</f>
        <v>0.89950643253561258</v>
      </c>
      <c r="AD47">
        <f>R47/$R$3</f>
        <v>0.52675605969081196</v>
      </c>
      <c r="AE47">
        <f>V47/$V$3</f>
        <v>1.8984119529388355</v>
      </c>
    </row>
    <row r="48" spans="2:31" x14ac:dyDescent="0.25">
      <c r="B48">
        <f>(1/Gam*(1/M_1^2-1/D48^2)+(Gam+1)/2/Gam*LN((M_1^2/D48^2)*(1+D48^2*(Gam-1)/2)/(1+M_1^2*(Gam-1)/2)))*D/f</f>
        <v>24.74703297154597</v>
      </c>
      <c r="C48">
        <f>B48/3.28</f>
        <v>7.5448271254713326</v>
      </c>
      <c r="D48">
        <f>D47+0.01</f>
        <v>0.88927482794292345</v>
      </c>
      <c r="E48">
        <f>(Gam/Z/Rg)^0.5*D48*(1+D48^2*(Gam-1)/2)^(-(Gam+1)/2/(Gam-1))</f>
        <v>9.2728390942005801E-2</v>
      </c>
      <c r="F48">
        <f>H48/(1+(Gam-1)/2*D48^2)^(Gam/(Gam-1))</f>
        <v>60.901466641620829</v>
      </c>
      <c r="G48" s="21">
        <f>F48*6.89476</f>
        <v>419.90099614198164</v>
      </c>
      <c r="H48">
        <f>mdot*N48^0.5/A/E48/gc^0.5/144</f>
        <v>101.81699323430037</v>
      </c>
      <c r="I48" s="21">
        <f>H48*6.89476</f>
        <v>702.00373227212481</v>
      </c>
      <c r="J48">
        <f>N48/(1+(Gam-1)/2*D48^2)</f>
        <v>569.58355734411475</v>
      </c>
      <c r="K48">
        <f>J48/1.8</f>
        <v>316.43530963561932</v>
      </c>
      <c r="L48">
        <f>J48-'Example 7.3 - Pipe P2'!$C$8</f>
        <v>109.91355734411474</v>
      </c>
      <c r="M48">
        <f>K48-'Example 7.3 - Pipe P2'!$C$9</f>
        <v>43.285309635619342</v>
      </c>
      <c r="N48">
        <f>N47</f>
        <v>659.67000000000007</v>
      </c>
      <c r="O48">
        <f>O47</f>
        <v>366.48333333333335</v>
      </c>
      <c r="P48">
        <f>N48-'Example 7.3 - Pipe P2'!$C$8</f>
        <v>200.00000000000006</v>
      </c>
      <c r="Q48">
        <f>O48-'Example 7.3 - Pipe P2'!$C$9</f>
        <v>93.333333333333371</v>
      </c>
      <c r="R48">
        <f>F48/J48/Rg/Z*144</f>
        <v>0.28858513407062331</v>
      </c>
      <c r="S48">
        <f>R48*16.01846</f>
        <v>4.622689426704917</v>
      </c>
      <c r="T48">
        <f>(Gam*F48/R48*gc*144)^0.5</f>
        <v>1169.969905213399</v>
      </c>
      <c r="U48">
        <f>T48/3.28</f>
        <v>356.69814183335336</v>
      </c>
      <c r="V48">
        <f>D48*T48</f>
        <v>1040.4247861570439</v>
      </c>
      <c r="W48">
        <f>V48/3.28</f>
        <v>317.20267870641584</v>
      </c>
      <c r="Y48">
        <f>B48/L</f>
        <v>0.98988131886183883</v>
      </c>
      <c r="Z48">
        <f>D48</f>
        <v>0.88927482794292345</v>
      </c>
      <c r="AA48">
        <f>F48/$F$3</f>
        <v>0.46777634773361176</v>
      </c>
      <c r="AB48">
        <f>H48/$H$3</f>
        <v>0.68497177187010494</v>
      </c>
      <c r="AC48">
        <f>J48/$J$3</f>
        <v>0.89675928339973265</v>
      </c>
      <c r="AD48">
        <f>R48/$R$3</f>
        <v>0.52162978002325222</v>
      </c>
      <c r="AE48">
        <f>V48/$V$3</f>
        <v>1.9170684617650169</v>
      </c>
    </row>
    <row r="49" spans="2:31" x14ac:dyDescent="0.25">
      <c r="B49">
        <f>(1/Gam*(1/M_1^2-1/D49^2)+(Gam+1)/2/Gam*LN((M_1^2/D49^2)*(1+D49^2*(Gam-1)/2)/(1+M_1^2*(Gam-1)/2)))*D/f</f>
        <v>24.797766464148754</v>
      </c>
      <c r="C49">
        <f>B49/3.28</f>
        <v>7.5602946537038891</v>
      </c>
      <c r="D49">
        <f>D48+0.01</f>
        <v>0.89927482794292346</v>
      </c>
      <c r="E49">
        <f>(Gam/Z/Rg)^0.5*D49*(1+D49^2*(Gam-1)/2)^(-(Gam+1)/2/(Gam-1))</f>
        <v>9.2907607610290474E-2</v>
      </c>
      <c r="F49">
        <f>H49/(1+(Gam-1)/2*D49^2)^(Gam/(Gam-1))</f>
        <v>60.131448591617527</v>
      </c>
      <c r="G49" s="21">
        <f>F49*6.89476</f>
        <v>414.59190649154084</v>
      </c>
      <c r="H49">
        <f>mdot*N49^0.5/A/E49/gc^0.5/144</f>
        <v>101.62059056317838</v>
      </c>
      <c r="I49" s="21">
        <f>H49*6.89476</f>
        <v>700.64958299137982</v>
      </c>
      <c r="J49">
        <f>N49/(1+(Gam-1)/2*D49^2)</f>
        <v>567.82975819030503</v>
      </c>
      <c r="K49">
        <f>J49/1.8</f>
        <v>315.46097677239169</v>
      </c>
      <c r="L49">
        <f>J49-'Example 7.3 - Pipe P2'!$C$8</f>
        <v>108.15975819030501</v>
      </c>
      <c r="M49">
        <f>K49-'Example 7.3 - Pipe P2'!$C$9</f>
        <v>42.310976772391712</v>
      </c>
      <c r="N49">
        <f>N48</f>
        <v>659.67000000000007</v>
      </c>
      <c r="O49">
        <f>O48</f>
        <v>366.48333333333335</v>
      </c>
      <c r="P49">
        <f>N49-'Example 7.3 - Pipe P2'!$C$8</f>
        <v>200.00000000000006</v>
      </c>
      <c r="Q49">
        <f>O49-'Example 7.3 - Pipe P2'!$C$9</f>
        <v>93.333333333333371</v>
      </c>
      <c r="R49">
        <f>F49/J49/Rg/Z*144</f>
        <v>0.28581641337260805</v>
      </c>
      <c r="S49">
        <f>R49*16.01846</f>
        <v>4.5783387849525869</v>
      </c>
      <c r="T49">
        <f>(Gam*F49/R49*gc*144)^0.5</f>
        <v>1168.1672951046862</v>
      </c>
      <c r="U49">
        <f>T49/3.28</f>
        <v>356.14856558069704</v>
      </c>
      <c r="V49">
        <f>D49*T49</f>
        <v>1050.5034433138169</v>
      </c>
      <c r="W49">
        <f>V49/3.28</f>
        <v>320.2754400347003</v>
      </c>
      <c r="Y49">
        <f>B49/L</f>
        <v>0.99191065856595018</v>
      </c>
      <c r="Z49">
        <f>D49</f>
        <v>0.89927482794292346</v>
      </c>
      <c r="AA49">
        <f>F49/$F$3</f>
        <v>0.46186193793394137</v>
      </c>
      <c r="AB49">
        <f>H49/$H$3</f>
        <v>0.68365047685475444</v>
      </c>
      <c r="AC49">
        <f>J49/$J$3</f>
        <v>0.8939980806716713</v>
      </c>
      <c r="AD49">
        <f>R49/$R$3</f>
        <v>0.51662520079119068</v>
      </c>
      <c r="AE49">
        <f>V49/$V$3</f>
        <v>1.9356392186609175</v>
      </c>
    </row>
    <row r="50" spans="2:31" x14ac:dyDescent="0.25">
      <c r="B50">
        <f>(1/Gam*(1/M_1^2-1/D50^2)+(Gam+1)/2/Gam*LN((M_1^2/D50^2)*(1+D50^2*(Gam-1)/2)/(1+M_1^2*(Gam-1)/2)))*D/f</f>
        <v>24.842291640792741</v>
      </c>
      <c r="C50">
        <f>B50/3.28</f>
        <v>7.5738694026807138</v>
      </c>
      <c r="D50">
        <f>D49+0.01</f>
        <v>0.90927482794292347</v>
      </c>
      <c r="E50">
        <f>(Gam/Z/Rg)^0.5*D50*(1+D50^2*(Gam-1)/2)^(-(Gam+1)/2/(Gam-1))</f>
        <v>9.3068723004475079E-2</v>
      </c>
      <c r="F50">
        <f>H50/(1+(Gam-1)/2*D50^2)^(Gam/(Gam-1))</f>
        <v>59.377771307713047</v>
      </c>
      <c r="G50" s="21">
        <f>F50*6.89476</f>
        <v>409.39548250156759</v>
      </c>
      <c r="H50">
        <f>mdot*N50^0.5/A/E50/gc^0.5/144</f>
        <v>101.44467065176978</v>
      </c>
      <c r="I50" s="21">
        <f>H50*6.89476</f>
        <v>699.43665742299618</v>
      </c>
      <c r="J50">
        <f>N50/(1+(Gam-1)/2*D50^2)</f>
        <v>566.06729558117843</v>
      </c>
      <c r="K50">
        <f>J50/1.8</f>
        <v>314.48183087843245</v>
      </c>
      <c r="L50">
        <f>J50-'Example 7.3 - Pipe P2'!$C$8</f>
        <v>106.39729558117841</v>
      </c>
      <c r="M50">
        <f>K50-'Example 7.3 - Pipe P2'!$C$9</f>
        <v>41.33183087843247</v>
      </c>
      <c r="N50">
        <f>N49</f>
        <v>659.67000000000007</v>
      </c>
      <c r="O50">
        <f>O49</f>
        <v>366.48333333333335</v>
      </c>
      <c r="P50">
        <f>N50-'Example 7.3 - Pipe P2'!$C$8</f>
        <v>200.00000000000006</v>
      </c>
      <c r="Q50">
        <f>O50-'Example 7.3 - Pipe P2'!$C$9</f>
        <v>93.333333333333371</v>
      </c>
      <c r="R50">
        <f>F50/J50/Rg/Z*144</f>
        <v>0.28311278107747306</v>
      </c>
      <c r="S50">
        <f>R50*16.01846</f>
        <v>4.5350307591782597</v>
      </c>
      <c r="T50">
        <f>(Gam*F50/R50*gc*144)^0.5</f>
        <v>1166.3529737976319</v>
      </c>
      <c r="U50">
        <f>T50/3.28</f>
        <v>355.59541884074144</v>
      </c>
      <c r="V50">
        <f>D50*T50</f>
        <v>1060.5353995705589</v>
      </c>
      <c r="W50">
        <f>V50/3.28</f>
        <v>323.33396328370696</v>
      </c>
      <c r="Y50">
        <f>B50/L</f>
        <v>0.99369166563170963</v>
      </c>
      <c r="Z50">
        <f>D50</f>
        <v>0.90927482794292347</v>
      </c>
      <c r="AA50">
        <f>F50/$F$3</f>
        <v>0.45607303946111399</v>
      </c>
      <c r="AB50">
        <f>H50/$H$3</f>
        <v>0.68246697919294974</v>
      </c>
      <c r="AC50">
        <f>J50/$J$3</f>
        <v>0.89122323809414172</v>
      </c>
      <c r="AD50">
        <f>R50/$R$3</f>
        <v>0.51173827158772767</v>
      </c>
      <c r="AE50">
        <f>V50/$V$3</f>
        <v>1.9541239252975617</v>
      </c>
    </row>
    <row r="51" spans="2:31" x14ac:dyDescent="0.25">
      <c r="B51">
        <f>(1/Gam*(1/M_1^2-1/D51^2)+(Gam+1)/2/Gam*LN((M_1^2/D51^2)*(1+D51^2*(Gam-1)/2)/(1+M_1^2*(Gam-1)/2)))*D/f</f>
        <v>24.880954147764999</v>
      </c>
      <c r="C51">
        <f>B51/3.28</f>
        <v>7.5856567523673784</v>
      </c>
      <c r="D51">
        <f>D50+0.01</f>
        <v>0.91927482794292348</v>
      </c>
      <c r="E51">
        <f>(Gam/Z/Rg)^0.5*D51*(1+D51^2*(Gam-1)/2)^(-(Gam+1)/2/(Gam-1))</f>
        <v>9.3211966832444704E-2</v>
      </c>
      <c r="F51">
        <f>H51/(1+(Gam-1)/2*D51^2)^(Gam/(Gam-1))</f>
        <v>58.639912340779588</v>
      </c>
      <c r="G51" s="21">
        <f>F51*6.89476</f>
        <v>404.30812201071348</v>
      </c>
      <c r="H51">
        <f>mdot*N51^0.5/A/E51/gc^0.5/144</f>
        <v>101.28877518635815</v>
      </c>
      <c r="I51" s="21">
        <f>H51*6.89476</f>
        <v>698.36179560389473</v>
      </c>
      <c r="J51">
        <f>N51/(1+(Gam-1)/2*D51^2)</f>
        <v>564.29643085273756</v>
      </c>
      <c r="K51">
        <f>J51/1.8</f>
        <v>313.49801714040973</v>
      </c>
      <c r="L51">
        <f>J51-'Example 7.3 - Pipe P2'!$C$8</f>
        <v>104.62643085273754</v>
      </c>
      <c r="M51">
        <f>K51-'Example 7.3 - Pipe P2'!$C$9</f>
        <v>40.348017140409752</v>
      </c>
      <c r="N51">
        <f>N50</f>
        <v>659.67000000000007</v>
      </c>
      <c r="O51">
        <f>O50</f>
        <v>366.48333333333335</v>
      </c>
      <c r="P51">
        <f>N51-'Example 7.3 - Pipe P2'!$C$8</f>
        <v>200.00000000000006</v>
      </c>
      <c r="Q51">
        <f>O51-'Example 7.3 - Pipe P2'!$C$9</f>
        <v>93.333333333333371</v>
      </c>
      <c r="R51">
        <f>F51/J51/Rg/Z*144</f>
        <v>0.28047209378790627</v>
      </c>
      <c r="S51">
        <f>R51*16.01846</f>
        <v>4.4927310154578253</v>
      </c>
      <c r="T51">
        <f>(Gam*F51/R51*gc*144)^0.5</f>
        <v>1164.5271562113942</v>
      </c>
      <c r="U51">
        <f>T51/3.28</f>
        <v>355.0387671376202</v>
      </c>
      <c r="V51">
        <f>D51*T51</f>
        <v>1070.5205011610913</v>
      </c>
      <c r="W51">
        <f>V51/3.28</f>
        <v>326.37820157350347</v>
      </c>
      <c r="Y51">
        <f>B51/L</f>
        <v>0.99523816591059999</v>
      </c>
      <c r="Z51">
        <f>D51</f>
        <v>0.91927482794292348</v>
      </c>
      <c r="AA51">
        <f>F51/$F$3</f>
        <v>0.45040563945044254</v>
      </c>
      <c r="AB51">
        <f>H51/$H$3</f>
        <v>0.6814181955883919</v>
      </c>
      <c r="AC51">
        <f>J51/$J$3</f>
        <v>0.88843516711772652</v>
      </c>
      <c r="AD51">
        <f>R51/$R$3</f>
        <v>0.50696511813197886</v>
      </c>
      <c r="AE51">
        <f>V51/$V$3</f>
        <v>1.9725222983480861</v>
      </c>
    </row>
    <row r="52" spans="2:31" x14ac:dyDescent="0.25">
      <c r="B52">
        <f>(1/Gam*(1/M_1^2-1/D52^2)+(Gam+1)/2/Gam*LN((M_1^2/D52^2)*(1+D52^2*(Gam-1)/2)/(1+M_1^2*(Gam-1)/2)))*D/f</f>
        <v>24.914079521492756</v>
      </c>
      <c r="C52">
        <f>B52/3.28</f>
        <v>7.5957559516746214</v>
      </c>
      <c r="D52">
        <f>D51+0.01</f>
        <v>0.92927482794292349</v>
      </c>
      <c r="E52">
        <f>(Gam/Z/Rg)^0.5*D52*(1+D52^2*(Gam-1)/2)^(-(Gam+1)/2/(Gam-1))</f>
        <v>9.3337573048173139E-2</v>
      </c>
      <c r="F52">
        <f>H52/(1+(Gam-1)/2*D52^2)^(Gam/(Gam-1))</f>
        <v>57.917371701819739</v>
      </c>
      <c r="G52" s="21">
        <f>F52*6.89476</f>
        <v>399.32637771483866</v>
      </c>
      <c r="H52">
        <f>mdot*N52^0.5/A/E52/gc^0.5/144</f>
        <v>101.15246888085393</v>
      </c>
      <c r="I52" s="21">
        <f>H52*6.89476</f>
        <v>697.42199634095641</v>
      </c>
      <c r="J52">
        <f>N52/(1+(Gam-1)/2*D52^2)</f>
        <v>562.51742381843439</v>
      </c>
      <c r="K52">
        <f>J52/1.8</f>
        <v>312.50967989913022</v>
      </c>
      <c r="L52">
        <f>J52-'Example 7.3 - Pipe P2'!$C$8</f>
        <v>102.84742381843438</v>
      </c>
      <c r="M52">
        <f>K52-'Example 7.3 - Pipe P2'!$C$9</f>
        <v>39.359679899130242</v>
      </c>
      <c r="N52">
        <f>N51</f>
        <v>659.67000000000007</v>
      </c>
      <c r="O52">
        <f>O51</f>
        <v>366.48333333333335</v>
      </c>
      <c r="P52">
        <f>N52-'Example 7.3 - Pipe P2'!$C$8</f>
        <v>200.00000000000006</v>
      </c>
      <c r="Q52">
        <f>O52-'Example 7.3 - Pipe P2'!$C$9</f>
        <v>93.333333333333371</v>
      </c>
      <c r="R52">
        <f>F52/J52/Rg/Z*144</f>
        <v>0.27789230030663742</v>
      </c>
      <c r="S52">
        <f>R52*16.01846</f>
        <v>4.4514066967698591</v>
      </c>
      <c r="T52">
        <f>(Gam*F52/R52*gc*144)^0.5</f>
        <v>1162.6900566963011</v>
      </c>
      <c r="U52">
        <f>T52/3.28</f>
        <v>354.47867582204304</v>
      </c>
      <c r="V52">
        <f>D52*T52</f>
        <v>1080.4586023874031</v>
      </c>
      <c r="W52">
        <f>V52/3.28</f>
        <v>329.40811048396438</v>
      </c>
      <c r="Y52">
        <f>B52/L</f>
        <v>0.99656318085971018</v>
      </c>
      <c r="Z52">
        <f>D52</f>
        <v>0.92927482794292349</v>
      </c>
      <c r="AA52">
        <f>F52/$F$3</f>
        <v>0.44485589755061838</v>
      </c>
      <c r="AB52">
        <f>H52/$H$3</f>
        <v>0.6805011976626778</v>
      </c>
      <c r="AC52">
        <f>J52/$J$3</f>
        <v>0.88563427679588569</v>
      </c>
      <c r="AD52">
        <f>R52/$R$3</f>
        <v>0.50230203279851759</v>
      </c>
      <c r="AE52">
        <f>V52/$V$3</f>
        <v>1.9908340693518913</v>
      </c>
    </row>
    <row r="53" spans="2:31" x14ac:dyDescent="0.25">
      <c r="B53">
        <f>(1/Gam*(1/M_1^2-1/D53^2)+(Gam+1)/2/Gam*LN((M_1^2/D53^2)*(1+D53^2*(Gam-1)/2)/(1+M_1^2*(Gam-1)/2)))*D/f</f>
        <v>24.941974512735211</v>
      </c>
      <c r="C53">
        <f>B53/3.28</f>
        <v>7.6042605221753696</v>
      </c>
      <c r="D53">
        <f>D52+0.01</f>
        <v>0.9392748279429235</v>
      </c>
      <c r="E53">
        <f>(Gam/Z/Rg)^0.5*D53*(1+D53^2*(Gam-1)/2)^(-(Gam+1)/2/(Gam-1))</f>
        <v>9.3445779601030288E-2</v>
      </c>
      <c r="F53">
        <f>H53/(1+(Gam-1)/2*D53^2)^(Gam/(Gam-1))</f>
        <v>57.209670663873133</v>
      </c>
      <c r="G53" s="21">
        <f>F53*6.89476</f>
        <v>394.44694890644593</v>
      </c>
      <c r="H53">
        <f>mdot*N53^0.5/A/E53/gc^0.5/144</f>
        <v>101.03533828365288</v>
      </c>
      <c r="I53" s="21">
        <f>H53*6.89476</f>
        <v>696.61440898459853</v>
      </c>
      <c r="J53">
        <f>N53/(1+(Gam-1)/2*D53^2)</f>
        <v>560.73053270449645</v>
      </c>
      <c r="K53">
        <f>J53/1.8</f>
        <v>311.51696261360911</v>
      </c>
      <c r="L53">
        <f>J53-'Example 7.3 - Pipe P2'!$C$8</f>
        <v>101.06053270449644</v>
      </c>
      <c r="M53">
        <f>K53-'Example 7.3 - Pipe P2'!$C$9</f>
        <v>38.366962613609132</v>
      </c>
      <c r="N53">
        <f>N52</f>
        <v>659.67000000000007</v>
      </c>
      <c r="O53">
        <f>O52</f>
        <v>366.48333333333335</v>
      </c>
      <c r="P53">
        <f>N53-'Example 7.3 - Pipe P2'!$C$8</f>
        <v>200.00000000000006</v>
      </c>
      <c r="Q53">
        <f>O53-'Example 7.3 - Pipe P2'!$C$9</f>
        <v>93.333333333333371</v>
      </c>
      <c r="R53">
        <f>F53/J53/Rg/Z*144</f>
        <v>0.27537143673163317</v>
      </c>
      <c r="S53">
        <f>R53*16.01846</f>
        <v>4.4110263444281967</v>
      </c>
      <c r="T53">
        <f>(Gam*F53/R53*gc*144)^0.5</f>
        <v>1160.8418889834616</v>
      </c>
      <c r="U53">
        <f>T53/3.28</f>
        <v>353.91521005593341</v>
      </c>
      <c r="V53">
        <f>D53*T53</f>
        <v>1090.3495655438792</v>
      </c>
      <c r="W53">
        <f>V53/3.28</f>
        <v>332.4236480316705</v>
      </c>
      <c r="Y53">
        <f>B53/L</f>
        <v>0.9976789805094084</v>
      </c>
      <c r="Z53">
        <f>D53</f>
        <v>0.9392748279429235</v>
      </c>
      <c r="AA53">
        <f>F53/$F$3</f>
        <v>0.43942013672131003</v>
      </c>
      <c r="AB53">
        <f>H53/$H$3</f>
        <v>0.67971320392846513</v>
      </c>
      <c r="AC53">
        <f>J53/$J$3</f>
        <v>0.88282097368313406</v>
      </c>
      <c r="AD53">
        <f>R53/$R$3</f>
        <v>0.49774546575173306</v>
      </c>
      <c r="AE53">
        <f>V53/$V$3</f>
        <v>2.009058984575026</v>
      </c>
    </row>
    <row r="54" spans="2:31" x14ac:dyDescent="0.25">
      <c r="B54">
        <f>(1/Gam*(1/M_1^2-1/D54^2)+(Gam+1)/2/Gam*LN((M_1^2/D54^2)*(1+D54^2*(Gam-1)/2)/(1+M_1^2*(Gam-1)/2)))*D/f</f>
        <v>24.964928311754623</v>
      </c>
      <c r="C54">
        <f>B54/3.28</f>
        <v>7.6112586316325075</v>
      </c>
      <c r="D54">
        <f>D53+0.01</f>
        <v>0.9492748279429235</v>
      </c>
      <c r="E54">
        <f>(Gam/Z/Rg)^0.5*D54*(1+D54^2*(Gam-1)/2)^(-(Gam+1)/2/(Gam-1))</f>
        <v>9.3536828187673518E-2</v>
      </c>
      <c r="F54">
        <f>H54/(1+(Gam-1)/2*D54^2)^(Gam/(Gam-1))</f>
        <v>56.51635063970479</v>
      </c>
      <c r="G54" s="21">
        <f>F54*6.89476</f>
        <v>389.66667373661096</v>
      </c>
      <c r="H54">
        <f>mdot*N54^0.5/A/E54/gc^0.5/144</f>
        <v>100.93699066026232</v>
      </c>
      <c r="I54" s="21">
        <f>H54*6.89476</f>
        <v>695.93632572475019</v>
      </c>
      <c r="J54">
        <f>N54/(1+(Gam-1)/2*D54^2)</f>
        <v>558.93601408726897</v>
      </c>
      <c r="K54">
        <f>J54/1.8</f>
        <v>310.52000782626055</v>
      </c>
      <c r="L54">
        <f>J54-'Example 7.3 - Pipe P2'!$C$8</f>
        <v>99.266014087268957</v>
      </c>
      <c r="M54">
        <f>K54-'Example 7.3 - Pipe P2'!$C$9</f>
        <v>37.370007826260576</v>
      </c>
      <c r="N54">
        <f>N53</f>
        <v>659.67000000000007</v>
      </c>
      <c r="O54">
        <f>O53</f>
        <v>366.48333333333335</v>
      </c>
      <c r="P54">
        <f>N54-'Example 7.3 - Pipe P2'!$C$8</f>
        <v>200.00000000000006</v>
      </c>
      <c r="Q54">
        <f>O54-'Example 7.3 - Pipe P2'!$C$9</f>
        <v>93.333333333333371</v>
      </c>
      <c r="R54">
        <f>F54/J54/Rg/Z*144</f>
        <v>0.27290762186127443</v>
      </c>
      <c r="S54">
        <f>R54*16.01846</f>
        <v>4.3715598244799505</v>
      </c>
      <c r="T54">
        <f>(Gam*F54/R54*gc*144)^0.5</f>
        <v>1158.9828661355054</v>
      </c>
      <c r="U54">
        <f>T54/3.28</f>
        <v>353.34843479741022</v>
      </c>
      <c r="V54">
        <f>D54*T54</f>
        <v>1100.1932608395782</v>
      </c>
      <c r="W54">
        <f>V54/3.28</f>
        <v>335.42477464621288</v>
      </c>
      <c r="Y54">
        <f>B54/L</f>
        <v>0.99859713247018489</v>
      </c>
      <c r="Z54">
        <f>D54</f>
        <v>0.9492748279429235</v>
      </c>
      <c r="AA54">
        <f>F54/$F$3</f>
        <v>0.43409483461283171</v>
      </c>
      <c r="AB54">
        <f>H54/$H$3</f>
        <v>0.67905157227236201</v>
      </c>
      <c r="AC54">
        <f>J54/$J$3</f>
        <v>0.87999566173639154</v>
      </c>
      <c r="AD54">
        <f>R54/$R$3</f>
        <v>0.49329201664049532</v>
      </c>
      <c r="AE54">
        <f>V54/$V$3</f>
        <v>2.027196804866978</v>
      </c>
    </row>
    <row r="55" spans="2:31" x14ac:dyDescent="0.25">
      <c r="B55">
        <f>(1/Gam*(1/M_1^2-1/D55^2)+(Gam+1)/2/Gam*LN((M_1^2/D55^2)*(1+D55^2*(Gam-1)/2)/(1+M_1^2*(Gam-1)/2)))*D/f</f>
        <v>24.983213682780661</v>
      </c>
      <c r="C55">
        <f>B55/3.28</f>
        <v>7.6168334398721536</v>
      </c>
      <c r="D55">
        <f>D54+0.01</f>
        <v>0.95927482794292351</v>
      </c>
      <c r="E55">
        <f>(Gam/Z/Rg)^0.5*D55*(1+D55^2*(Gam-1)/2)^(-(Gam+1)/2/(Gam-1))</f>
        <v>9.361096400674393E-2</v>
      </c>
      <c r="F55">
        <f>H55/(1+(Gam-1)/2*D55^2)^(Gam/(Gam-1))</f>
        <v>55.836972129745817</v>
      </c>
      <c r="G55" s="21">
        <f>F55*6.89476</f>
        <v>384.98252196128624</v>
      </c>
      <c r="H55">
        <f>mdot*N55^0.5/A/E55/gc^0.5/144</f>
        <v>100.85705294616548</v>
      </c>
      <c r="I55" s="21">
        <f>H55*6.89476</f>
        <v>695.38517437110386</v>
      </c>
      <c r="J55">
        <f>N55/(1+(Gam-1)/2*D55^2)</f>
        <v>557.13412283257492</v>
      </c>
      <c r="K55">
        <f>J55/1.8</f>
        <v>309.51895712920827</v>
      </c>
      <c r="L55">
        <f>J55-'Example 7.3 - Pipe P2'!$C$8</f>
        <v>97.464122832574901</v>
      </c>
      <c r="M55">
        <f>K55-'Example 7.3 - Pipe P2'!$C$9</f>
        <v>36.368957129208297</v>
      </c>
      <c r="N55">
        <f>N54</f>
        <v>659.67000000000007</v>
      </c>
      <c r="O55">
        <f>O54</f>
        <v>366.48333333333335</v>
      </c>
      <c r="P55">
        <f>N55-'Example 7.3 - Pipe P2'!$C$8</f>
        <v>200.00000000000006</v>
      </c>
      <c r="Q55">
        <f>O55-'Example 7.3 - Pipe P2'!$C$9</f>
        <v>93.333333333333371</v>
      </c>
      <c r="R55">
        <f>F55/J55/Rg/Z*144</f>
        <v>0.27049905288689624</v>
      </c>
      <c r="S55">
        <f>R55*16.01846</f>
        <v>4.3329782587066319</v>
      </c>
      <c r="T55">
        <f>(Gam*F55/R55*gc*144)^0.5</f>
        <v>1157.1132004984584</v>
      </c>
      <c r="U55">
        <f>T55/3.28</f>
        <v>352.77841478611538</v>
      </c>
      <c r="V55">
        <f>D55*T55</f>
        <v>1109.9895663186442</v>
      </c>
      <c r="W55">
        <f>V55/3.28</f>
        <v>338.41145314592814</v>
      </c>
      <c r="Y55">
        <f>B55/L</f>
        <v>0.99932854731122644</v>
      </c>
      <c r="Z55">
        <f>D55</f>
        <v>0.95927482794292351</v>
      </c>
      <c r="AA55">
        <f>F55/$F$3</f>
        <v>0.42887661548541051</v>
      </c>
      <c r="AB55">
        <f>H55/$H$3</f>
        <v>0.67851379291034375</v>
      </c>
      <c r="AC55">
        <f>J55/$J$3</f>
        <v>0.87715874221951118</v>
      </c>
      <c r="AD55">
        <f>R55/$R$3</f>
        <v>0.48893842681223942</v>
      </c>
      <c r="AE55">
        <f>V55/$V$3</f>
        <v>2.0452473055140268</v>
      </c>
    </row>
    <row r="56" spans="2:31" x14ac:dyDescent="0.25">
      <c r="B56">
        <f>(1/Gam*(1/M_1^2-1/D56^2)+(Gam+1)/2/Gam*LN((M_1^2/D56^2)*(1+D56^2*(Gam-1)/2)/(1+M_1^2*(Gam-1)/2)))*D/f</f>
        <v>24.997088015308108</v>
      </c>
      <c r="C56">
        <f>B56/3.28</f>
        <v>7.6210634193012528</v>
      </c>
      <c r="D56">
        <f>D55+0.01</f>
        <v>0.96927482794292352</v>
      </c>
      <c r="E56">
        <f>(Gam/Z/Rg)^0.5*D56*(1+D56^2*(Gam-1)/2)^(-(Gam+1)/2/(Gam-1))</f>
        <v>9.3668435516574985E-2</v>
      </c>
      <c r="F56">
        <f>H56/(1+(Gam-1)/2*D56^2)^(Gam/(Gam-1))</f>
        <v>55.171113735213019</v>
      </c>
      <c r="G56" s="21">
        <f>F56*6.89476</f>
        <v>380.39158813699731</v>
      </c>
      <c r="H56">
        <f>mdot*N56^0.5/A/E56/gc^0.5/144</f>
        <v>100.79517076485264</v>
      </c>
      <c r="I56" s="21">
        <f>H56*6.89476</f>
        <v>694.95851158267533</v>
      </c>
      <c r="J56">
        <f>N56/(1+(Gam-1)/2*D56^2)</f>
        <v>555.32511203708725</v>
      </c>
      <c r="K56">
        <f>J56/1.8</f>
        <v>308.51395113171515</v>
      </c>
      <c r="L56">
        <f>J56-'Example 7.3 - Pipe P2'!$C$8</f>
        <v>95.655112037087235</v>
      </c>
      <c r="M56">
        <f>K56-'Example 7.3 - Pipe P2'!$C$9</f>
        <v>35.363951131715169</v>
      </c>
      <c r="N56">
        <f>N55</f>
        <v>659.67000000000007</v>
      </c>
      <c r="O56">
        <f>O55</f>
        <v>366.48333333333335</v>
      </c>
      <c r="P56">
        <f>N56-'Example 7.3 - Pipe P2'!$C$8</f>
        <v>200.00000000000006</v>
      </c>
      <c r="Q56">
        <f>O56-'Example 7.3 - Pipe P2'!$C$9</f>
        <v>93.333333333333371</v>
      </c>
      <c r="R56">
        <f>F56/J56/Rg/Z*144</f>
        <v>0.26814400135193794</v>
      </c>
      <c r="S56">
        <f>R56*16.01846</f>
        <v>4.2952539598959643</v>
      </c>
      <c r="T56">
        <f>(Gam*F56/R56*gc*144)^0.5</f>
        <v>1155.2331036547523</v>
      </c>
      <c r="U56">
        <f>T56/3.28</f>
        <v>352.20521452888789</v>
      </c>
      <c r="V56">
        <f>D56*T56</f>
        <v>1119.7383677789296</v>
      </c>
      <c r="W56">
        <f>V56/3.28</f>
        <v>341.38364871308829</v>
      </c>
      <c r="Y56">
        <f>B56/L</f>
        <v>0.99988352061232433</v>
      </c>
      <c r="Z56">
        <f>D56</f>
        <v>0.96927482794292352</v>
      </c>
      <c r="AA56">
        <f>F56/$F$3</f>
        <v>0.42376224262908496</v>
      </c>
      <c r="AB56">
        <f>H56/$H$3</f>
        <v>0.67809748178157669</v>
      </c>
      <c r="AC56">
        <f>J56/$J$3</f>
        <v>0.87431061361097451</v>
      </c>
      <c r="AD56">
        <f>R56/$R$3</f>
        <v>0.4846815720089595</v>
      </c>
      <c r="AE56">
        <f>V56/$V$3</f>
        <v>2.0632102760892983</v>
      </c>
    </row>
    <row r="57" spans="2:31" x14ac:dyDescent="0.25">
      <c r="B57">
        <f>(1/Gam*(1/M_1^2-1/D57^2)+(Gam+1)/2/Gam*LN((M_1^2/D57^2)*(1+D57^2*(Gam-1)/2)/(1+M_1^2*(Gam-1)/2)))*D/f</f>
        <v>25.006794299072851</v>
      </c>
      <c r="C57">
        <f>B57/3.28</f>
        <v>7.6240226521563574</v>
      </c>
      <c r="D57">
        <f>D56+0.01</f>
        <v>0.97927482794292353</v>
      </c>
      <c r="E57">
        <f>(Gam/Z/Rg)^0.5*D57*(1+D57^2*(Gam-1)/2)^(-(Gam+1)/2/(Gam-1))</f>
        <v>9.3709494196113324E-2</v>
      </c>
      <c r="F57">
        <f>H57/(1+(Gam-1)/2*D57^2)^(Gam/(Gam-1))</f>
        <v>54.518371231748489</v>
      </c>
      <c r="G57" s="21">
        <f>F57*6.89476</f>
        <v>375.8910852338102</v>
      </c>
      <c r="H57">
        <f>mdot*N57^0.5/A/E57/gc^0.5/144</f>
        <v>100.75100750635949</v>
      </c>
      <c r="I57" s="21">
        <f>H57*6.89476</f>
        <v>694.65401651454715</v>
      </c>
      <c r="J57">
        <f>N57/(1+(Gam-1)/2*D57^2)</f>
        <v>553.50923297171482</v>
      </c>
      <c r="K57">
        <f>J57/1.8</f>
        <v>307.50512942873047</v>
      </c>
      <c r="L57">
        <f>J57-'Example 7.3 - Pipe P2'!$C$8</f>
        <v>93.839232971714807</v>
      </c>
      <c r="M57">
        <f>K57-'Example 7.3 - Pipe P2'!$C$9</f>
        <v>34.355129428730493</v>
      </c>
      <c r="N57">
        <f>N56</f>
        <v>659.67000000000007</v>
      </c>
      <c r="O57">
        <f>O56</f>
        <v>366.48333333333335</v>
      </c>
      <c r="P57">
        <f>N57-'Example 7.3 - Pipe P2'!$C$8</f>
        <v>200.00000000000006</v>
      </c>
      <c r="Q57">
        <f>O57-'Example 7.3 - Pipe P2'!$C$9</f>
        <v>93.333333333333371</v>
      </c>
      <c r="R57">
        <f>F57/J57/Rg/Z*144</f>
        <v>0.26584080935864085</v>
      </c>
      <c r="S57">
        <f>R57*16.01846</f>
        <v>4.2583603710790143</v>
      </c>
      <c r="T57">
        <f>(Gam*F57/R57*gc*144)^0.5</f>
        <v>1153.3427863773845</v>
      </c>
      <c r="U57">
        <f>T57/3.28</f>
        <v>351.62889828578801</v>
      </c>
      <c r="V57">
        <f>D57*T57</f>
        <v>1129.4395586889252</v>
      </c>
      <c r="W57">
        <f>V57/3.28</f>
        <v>344.34132886857481</v>
      </c>
      <c r="Y57">
        <f>B57/L</f>
        <v>1.0002717719629139</v>
      </c>
      <c r="Z57">
        <f>D57</f>
        <v>0.97927482794292353</v>
      </c>
      <c r="AA57">
        <f>F57/$F$3</f>
        <v>0.41874861124844986</v>
      </c>
      <c r="AB57">
        <f>H57/$H$3</f>
        <v>0.67780037434930351</v>
      </c>
      <c r="AC57">
        <f>J57/$J$3</f>
        <v>0.87145167151475778</v>
      </c>
      <c r="AD57">
        <f>R57/$R$3</f>
        <v>0.48051845551065481</v>
      </c>
      <c r="AE57">
        <f>V57/$V$3</f>
        <v>2.0810855202997018</v>
      </c>
    </row>
    <row r="58" spans="2:31" x14ac:dyDescent="0.25">
      <c r="B58">
        <f>(1/Gam*(1/M_1^2-1/D58^2)+(Gam+1)/2/Gam*LN((M_1^2/D58^2)*(1+D58^2*(Gam-1)/2)/(1+M_1^2*(Gam-1)/2)))*D/f</f>
        <v>25.012562028926272</v>
      </c>
      <c r="C58">
        <f>B58/3.28</f>
        <v>7.6257811063799616</v>
      </c>
      <c r="D58">
        <f>D57+0.01</f>
        <v>0.98927482794292354</v>
      </c>
      <c r="E58">
        <f>(Gam/Z/Rg)^0.5*D58*(1+D58^2*(Gam-1)/2)^(-(Gam+1)/2/(Gam-1))</f>
        <v>9.3734394309237426E-2</v>
      </c>
      <c r="F58">
        <f>H58/(1+(Gam-1)/2*D58^2)^(Gam/(Gam-1))</f>
        <v>53.878356699297306</v>
      </c>
      <c r="G58" s="21">
        <f>F58*6.89476</f>
        <v>371.47833863604711</v>
      </c>
      <c r="H58">
        <f>mdot*N58^0.5/A/E58/gc^0.5/144</f>
        <v>100.72424346203228</v>
      </c>
      <c r="I58" s="21">
        <f>H58*6.89476</f>
        <v>694.46948485228165</v>
      </c>
      <c r="J58">
        <f>N58/(1+(Gam-1)/2*D58^2)</f>
        <v>551.68673502699301</v>
      </c>
      <c r="K58">
        <f>J58/1.8</f>
        <v>306.49263057055168</v>
      </c>
      <c r="L58">
        <f>J58-'Example 7.3 - Pipe P2'!$C$8</f>
        <v>92.01673502699299</v>
      </c>
      <c r="M58">
        <f>K58-'Example 7.3 - Pipe P2'!$C$9</f>
        <v>33.342630570551705</v>
      </c>
      <c r="N58">
        <f>N57</f>
        <v>659.67000000000007</v>
      </c>
      <c r="O58">
        <f>O57</f>
        <v>366.48333333333335</v>
      </c>
      <c r="P58">
        <f>N58-'Example 7.3 - Pipe P2'!$C$8</f>
        <v>200.00000000000006</v>
      </c>
      <c r="Q58">
        <f>O58-'Example 7.3 - Pipe P2'!$C$9</f>
        <v>93.333333333333371</v>
      </c>
      <c r="R58">
        <f>F58/J58/Rg/Z*144</f>
        <v>0.26358788600478239</v>
      </c>
      <c r="S58">
        <f>R58*16.01846</f>
        <v>4.2222720084521672</v>
      </c>
      <c r="T58">
        <f>(Gam*F58/R58*gc*144)^0.5</f>
        <v>1151.4424585852234</v>
      </c>
      <c r="U58">
        <f>T58/3.28</f>
        <v>351.04953005647059</v>
      </c>
      <c r="V58">
        <f>D58*T58</f>
        <v>1139.0930401030737</v>
      </c>
      <c r="W58">
        <f>V58/3.28</f>
        <v>347.28446344605908</v>
      </c>
      <c r="Y58">
        <f>B58/L</f>
        <v>1.0005024811570509</v>
      </c>
      <c r="Z58">
        <f>D58</f>
        <v>0.98927482794292354</v>
      </c>
      <c r="AA58">
        <f>F58/$F$3</f>
        <v>0.41383274177935819</v>
      </c>
      <c r="AB58">
        <f>H58/$H$3</f>
        <v>0.67762031977999382</v>
      </c>
      <c r="AC58">
        <f>J58/$J$3</f>
        <v>0.86858230857435459</v>
      </c>
      <c r="AD58">
        <f>R58/$R$3</f>
        <v>0.47644620169457697</v>
      </c>
      <c r="AE58">
        <f>V58/$V$3</f>
        <v>2.0988728558298893</v>
      </c>
    </row>
    <row r="59" spans="2:31" x14ac:dyDescent="0.25">
      <c r="B59">
        <f>(1/Gam*(1/M_1^2-1/D59^2)+(Gam+1)/2/Gam*LN((M_1^2/D59^2)*(1+D59^2*(Gam-1)/2)/(1+M_1^2*(Gam-1)/2)))*D/f</f>
        <v>25.014608045265682</v>
      </c>
      <c r="C59">
        <f>B59/3.28</f>
        <v>7.6264048918492939</v>
      </c>
      <c r="D59">
        <f>D58+0.01</f>
        <v>0.99927482794292355</v>
      </c>
      <c r="E59">
        <f>(Gam/Z/Rg)^0.5*D59*(1+D59^2*(Gam-1)/2)^(-(Gam+1)/2/(Gam-1))</f>
        <v>9.3743392672650694E-2</v>
      </c>
      <c r="F59">
        <f>H59/(1+(Gam-1)/2*D59^2)^(Gam/(Gam-1))</f>
        <v>53.250697704283724</v>
      </c>
      <c r="G59" s="21">
        <f>F59*6.89476</f>
        <v>367.15078050358721</v>
      </c>
      <c r="H59">
        <f>mdot*N59^0.5/A/E59/gc^0.5/144</f>
        <v>100.71457501158093</v>
      </c>
      <c r="I59" s="21">
        <f>H59*6.89476</f>
        <v>694.40282320684776</v>
      </c>
      <c r="J59">
        <f>N59/(1+(Gam-1)/2*D59^2)</f>
        <v>549.85786566047409</v>
      </c>
      <c r="K59">
        <f>J59/1.8</f>
        <v>305.47659203359672</v>
      </c>
      <c r="L59">
        <f>J59-'Example 7.3 - Pipe P2'!$C$8</f>
        <v>90.187865660474074</v>
      </c>
      <c r="M59">
        <f>K59-'Example 7.3 - Pipe P2'!$C$9</f>
        <v>32.326592033596739</v>
      </c>
      <c r="N59">
        <f>N58</f>
        <v>659.67000000000007</v>
      </c>
      <c r="O59">
        <f>O58</f>
        <v>366.48333333333335</v>
      </c>
      <c r="P59">
        <f>N59-'Example 7.3 - Pipe P2'!$C$8</f>
        <v>200.00000000000006</v>
      </c>
      <c r="Q59">
        <f>O59-'Example 7.3 - Pipe P2'!$C$9</f>
        <v>93.333333333333371</v>
      </c>
      <c r="R59">
        <f>F59/J59/Rg/Z*144</f>
        <v>0.26138370403432709</v>
      </c>
      <c r="S59">
        <f>R59*16.01846</f>
        <v>4.1869644077257071</v>
      </c>
      <c r="T59">
        <f>(Gam*F59/R59*gc*144)^0.5</f>
        <v>1149.5323292994653</v>
      </c>
      <c r="U59">
        <f>T59/3.28</f>
        <v>350.46717356691016</v>
      </c>
      <c r="V59">
        <f>D59*T59</f>
        <v>1148.6987205755513</v>
      </c>
      <c r="W59">
        <f>V59/3.28</f>
        <v>350.21302456571686</v>
      </c>
      <c r="Y59">
        <f>B59/L</f>
        <v>1.0005843218106272</v>
      </c>
      <c r="Z59">
        <f>D59</f>
        <v>0.99927482794292355</v>
      </c>
      <c r="AA59">
        <f>F59/$F$3</f>
        <v>0.4090117736073216</v>
      </c>
      <c r="AB59">
        <f>H59/$H$3</f>
        <v>0.67755527547425931</v>
      </c>
      <c r="AC59">
        <f>J59/$J$3</f>
        <v>0.86570291438994629</v>
      </c>
      <c r="AD59">
        <f>R59/$R$3</f>
        <v>0.47246204998114028</v>
      </c>
      <c r="AE59">
        <f>V59/$V$3</f>
        <v>2.1165721141833895</v>
      </c>
    </row>
    <row r="60" spans="2:31" x14ac:dyDescent="0.25">
      <c r="B60">
        <f>(1/Gam*(1/M_1^2-1/D60^2)+(Gam+1)/2/Gam*LN((M_1^2/D60^2)*(1+D60^2*(Gam-1)/2)/(1+M_1^2*(Gam-1)/2)))*D/f</f>
        <v>25.014617264375801</v>
      </c>
      <c r="C60">
        <f>B60/3.28</f>
        <v>7.6264077025535979</v>
      </c>
      <c r="D60">
        <v>1</v>
      </c>
      <c r="E60">
        <f>(Gam/Z/Rg)^0.5*D60*(1+D60^2*(Gam-1)/2)^(-(Gam+1)/2/(Gam-1))</f>
        <v>9.3743433770267531E-2</v>
      </c>
      <c r="F60">
        <f>H60/(1+(Gam-1)/2*D60^2)^(Gam/(Gam-1))</f>
        <v>53.20565241064395</v>
      </c>
      <c r="G60" s="21">
        <f>F60*6.89476</f>
        <v>366.84020401481149</v>
      </c>
      <c r="H60">
        <f>mdot*N60^0.5/A/E60/gc^0.5/144</f>
        <v>100.71453085777893</v>
      </c>
      <c r="I60" s="21">
        <f>H60*6.89476</f>
        <v>694.40251877697983</v>
      </c>
      <c r="J60">
        <f>N60/(1+(Gam-1)/2*D60^2)</f>
        <v>549.72500000000014</v>
      </c>
      <c r="K60">
        <f>J60/1.8</f>
        <v>305.40277777777783</v>
      </c>
      <c r="L60">
        <f>J60-'Example 7.3 - Pipe P2'!$C$8</f>
        <v>90.055000000000121</v>
      </c>
      <c r="M60">
        <f>K60-'Example 7.3 - Pipe P2'!$C$9</f>
        <v>32.252777777777851</v>
      </c>
      <c r="N60">
        <f>N59</f>
        <v>659.67000000000007</v>
      </c>
      <c r="O60">
        <f>O59</f>
        <v>366.48333333333335</v>
      </c>
      <c r="P60">
        <f>N60-'Example 7.3 - Pipe P2'!$C$8</f>
        <v>200.00000000000006</v>
      </c>
      <c r="Q60">
        <f>O60-'Example 7.3 - Pipe P2'!$C$9</f>
        <v>93.333333333333371</v>
      </c>
      <c r="R60">
        <f>F60/J60/Rg/Z*144</f>
        <v>0.26122571860040111</v>
      </c>
      <c r="S60">
        <f>R60*16.01846</f>
        <v>4.1844337243717815</v>
      </c>
      <c r="T60">
        <f>(Gam*F60/R60*gc*144)^0.5</f>
        <v>1149.3934364970639</v>
      </c>
      <c r="U60">
        <f>T60/3.28</f>
        <v>350.42482820032438</v>
      </c>
      <c r="V60">
        <f>D60*T60</f>
        <v>1149.3934364970639</v>
      </c>
      <c r="W60">
        <f>V60/3.28</f>
        <v>350.42482820032438</v>
      </c>
      <c r="Y60">
        <f>B60/L</f>
        <v>1.000584690575032</v>
      </c>
      <c r="Z60">
        <f>D60</f>
        <v>1</v>
      </c>
      <c r="AA60">
        <f>F60/$F$3</f>
        <v>0.40866578648905733</v>
      </c>
      <c r="AB60">
        <f>H60/$H$3</f>
        <v>0.67755497843044532</v>
      </c>
      <c r="AC60">
        <f>J60/$J$3</f>
        <v>0.86549372907738098</v>
      </c>
      <c r="AD60">
        <f>R60/$R$3</f>
        <v>0.47217648465771822</v>
      </c>
      <c r="AE60">
        <f>V60/$V$3</f>
        <v>2.1178521855549466</v>
      </c>
    </row>
    <row r="61" spans="2:31" x14ac:dyDescent="0.25">
      <c r="G61" s="21"/>
      <c r="I61" s="21"/>
    </row>
    <row r="62" spans="2:31" x14ac:dyDescent="0.25">
      <c r="G62" s="21"/>
      <c r="I62" s="21"/>
    </row>
    <row r="63" spans="2:31" x14ac:dyDescent="0.25">
      <c r="G63" s="21"/>
      <c r="I63" s="21"/>
    </row>
    <row r="64" spans="2:31" x14ac:dyDescent="0.25">
      <c r="G64" s="21"/>
      <c r="I64" s="21"/>
    </row>
    <row r="65" spans="7:9" x14ac:dyDescent="0.25">
      <c r="G65" s="21"/>
      <c r="I65" s="21"/>
    </row>
    <row r="66" spans="7:9" x14ac:dyDescent="0.25">
      <c r="G66" s="21"/>
      <c r="I66" s="21"/>
    </row>
    <row r="67" spans="7:9" x14ac:dyDescent="0.25">
      <c r="G67" s="21"/>
      <c r="I67" s="21"/>
    </row>
    <row r="68" spans="7:9" x14ac:dyDescent="0.25">
      <c r="G68" s="21"/>
      <c r="I68" s="21"/>
    </row>
    <row r="69" spans="7:9" x14ac:dyDescent="0.25">
      <c r="G69" s="21"/>
      <c r="I69" s="21"/>
    </row>
    <row r="70" spans="7:9" x14ac:dyDescent="0.25">
      <c r="G70" s="21"/>
      <c r="I70" s="21"/>
    </row>
    <row r="71" spans="7:9" x14ac:dyDescent="0.25">
      <c r="G71" s="21"/>
      <c r="I71" s="21"/>
    </row>
    <row r="72" spans="7:9" x14ac:dyDescent="0.25">
      <c r="G72" s="21"/>
      <c r="I72" s="21"/>
    </row>
    <row r="73" spans="7:9" x14ac:dyDescent="0.25">
      <c r="G73" s="21"/>
      <c r="I73" s="21"/>
    </row>
    <row r="74" spans="7:9" x14ac:dyDescent="0.25">
      <c r="G74" s="21"/>
      <c r="I74" s="21"/>
    </row>
    <row r="75" spans="7:9" x14ac:dyDescent="0.25">
      <c r="G75" s="21"/>
      <c r="I75" s="21"/>
    </row>
    <row r="76" spans="7:9" x14ac:dyDescent="0.25">
      <c r="G76" s="21"/>
      <c r="I76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Example 7.3 - Pipe P2</vt:lpstr>
      <vt:lpstr>Graph Data</vt:lpstr>
      <vt:lpstr>A</vt:lpstr>
      <vt:lpstr>c_1</vt:lpstr>
      <vt:lpstr>c_2</vt:lpstr>
      <vt:lpstr>cp</vt:lpstr>
      <vt:lpstr>D</vt:lpstr>
      <vt:lpstr>f</vt:lpstr>
      <vt:lpstr>Gam</vt:lpstr>
      <vt:lpstr>gc</vt:lpstr>
      <vt:lpstr>h_1</vt:lpstr>
      <vt:lpstr>h_2</vt:lpstr>
      <vt:lpstr>ho_1</vt:lpstr>
      <vt:lpstr>ho_2</vt:lpstr>
      <vt:lpstr>L</vt:lpstr>
      <vt:lpstr>M_1</vt:lpstr>
      <vt:lpstr>M_2</vt:lpstr>
      <vt:lpstr>mdot</vt:lpstr>
      <vt:lpstr>P_1</vt:lpstr>
      <vt:lpstr>P_2</vt:lpstr>
      <vt:lpstr>Po_1</vt:lpstr>
      <vt:lpstr>Po_2</vt:lpstr>
      <vt:lpstr>Rg</vt:lpstr>
      <vt:lpstr>rho_1</vt:lpstr>
      <vt:lpstr>rho_2</vt:lpstr>
      <vt:lpstr>T_1</vt:lpstr>
      <vt:lpstr>T_2</vt:lpstr>
      <vt:lpstr>To_1</vt:lpstr>
      <vt:lpstr>To_2</vt:lpstr>
      <vt:lpstr>V_1</vt:lpstr>
      <vt:lpstr>V_2</vt:lpstr>
      <vt:lpstr>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Walters</dc:creator>
  <cp:lastModifiedBy>Trey Walters</cp:lastModifiedBy>
  <dcterms:created xsi:type="dcterms:W3CDTF">2011-05-29T12:54:22Z</dcterms:created>
  <dcterms:modified xsi:type="dcterms:W3CDTF">2024-04-22T23:35:35Z</dcterms:modified>
</cp:coreProperties>
</file>